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2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ocietà\ASM PANDINO\ADEMPIMENTO PUBBLICAZIONE SITO\SOCIETA' TRASPARENTE\PERSONALE\"/>
    </mc:Choice>
  </mc:AlternateContent>
  <xr:revisionPtr revIDLastSave="0" documentId="13_ncr:1_{5661B6E7-230F-4BFD-9059-3C7EE52E0BC0}" xr6:coauthVersionLast="45" xr6:coauthVersionMax="45" xr10:uidLastSave="{00000000-0000-0000-0000-000000000000}"/>
  <bookViews>
    <workbookView xWindow="-108" yWindow="-108" windowWidth="23256" windowHeight="12576" activeTab="4" xr2:uid="{F14C23A1-14A4-42A0-AC78-268129224541}"/>
  </bookViews>
  <sheets>
    <sheet name="2017" sheetId="1" r:id="rId1"/>
    <sheet name="2016" sheetId="2" r:id="rId2"/>
    <sheet name="2015" sheetId="3" r:id="rId3"/>
    <sheet name="Riepilogo" sheetId="4" r:id="rId4"/>
    <sheet name="Assenze sito" sheetId="8" r:id="rId5"/>
    <sheet name="Andamento organico" sheetId="5" r:id="rId6"/>
    <sheet name="Foglio2" sheetId="7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4" i="8" l="1"/>
  <c r="M15" i="8"/>
  <c r="M13" i="8"/>
  <c r="M7" i="8"/>
  <c r="M8" i="8"/>
  <c r="M6" i="8"/>
  <c r="H15" i="8"/>
  <c r="G15" i="8"/>
  <c r="F15" i="8"/>
  <c r="E15" i="8"/>
  <c r="D15" i="8"/>
  <c r="C15" i="8"/>
  <c r="H14" i="8"/>
  <c r="G14" i="8"/>
  <c r="F14" i="8"/>
  <c r="E14" i="8"/>
  <c r="D14" i="8"/>
  <c r="C14" i="8"/>
  <c r="H13" i="8"/>
  <c r="G13" i="8"/>
  <c r="F13" i="8"/>
  <c r="E13" i="8"/>
  <c r="D13" i="8"/>
  <c r="C13" i="8"/>
  <c r="H8" i="8"/>
  <c r="G8" i="8"/>
  <c r="F8" i="8"/>
  <c r="E8" i="8"/>
  <c r="D8" i="8"/>
  <c r="C8" i="8"/>
  <c r="H7" i="8"/>
  <c r="G7" i="8"/>
  <c r="F7" i="8"/>
  <c r="E7" i="8"/>
  <c r="D7" i="8"/>
  <c r="C7" i="8"/>
  <c r="H6" i="8"/>
  <c r="G6" i="8"/>
  <c r="F6" i="8"/>
  <c r="E6" i="8"/>
  <c r="D6" i="8"/>
  <c r="C6" i="8"/>
  <c r="E27" i="4"/>
  <c r="E26" i="4"/>
  <c r="E25" i="4"/>
  <c r="C27" i="4"/>
  <c r="C26" i="4"/>
  <c r="C25" i="4"/>
  <c r="F9" i="7" l="1"/>
  <c r="F10" i="7"/>
  <c r="F8" i="7"/>
  <c r="K41" i="1" l="1"/>
  <c r="G15" i="4" s="1"/>
  <c r="K37" i="2"/>
  <c r="G14" i="4" s="1"/>
  <c r="K41" i="3" l="1"/>
  <c r="G13" i="4" s="1"/>
  <c r="K38" i="3"/>
  <c r="K29" i="3" l="1"/>
  <c r="G6" i="4" s="1"/>
  <c r="K30" i="2"/>
  <c r="G7" i="4" s="1"/>
  <c r="K29" i="1"/>
  <c r="G8" i="4" s="1"/>
  <c r="J37" i="2" l="1"/>
  <c r="E14" i="4" s="1"/>
  <c r="I37" i="2"/>
  <c r="D14" i="4" s="1"/>
  <c r="I30" i="2"/>
  <c r="D7" i="4" s="1"/>
  <c r="J30" i="2"/>
  <c r="E7" i="4" s="1"/>
  <c r="I29" i="3" l="1"/>
  <c r="D6" i="4" s="1"/>
  <c r="J29" i="3"/>
  <c r="E6" i="4" s="1"/>
  <c r="J41" i="3"/>
  <c r="E13" i="4" s="1"/>
  <c r="I41" i="3"/>
  <c r="D13" i="4" s="1"/>
  <c r="I41" i="1" l="1"/>
  <c r="D15" i="4" s="1"/>
  <c r="J41" i="1"/>
  <c r="E15" i="4" s="1"/>
  <c r="I29" i="1"/>
  <c r="D8" i="4" s="1"/>
  <c r="J29" i="1"/>
  <c r="E8" i="4" s="1"/>
  <c r="G41" i="3" l="1"/>
  <c r="D39" i="3"/>
  <c r="C39" i="3"/>
  <c r="D26" i="3"/>
  <c r="C26" i="3"/>
  <c r="B26" i="3"/>
  <c r="B25" i="3"/>
  <c r="C23" i="3"/>
  <c r="C21" i="3"/>
  <c r="D20" i="3"/>
  <c r="C20" i="3"/>
  <c r="B20" i="3"/>
  <c r="D19" i="3"/>
  <c r="C19" i="3"/>
  <c r="B19" i="3"/>
  <c r="D17" i="3"/>
  <c r="C17" i="3"/>
  <c r="D13" i="3"/>
  <c r="C13" i="3"/>
  <c r="D9" i="3"/>
  <c r="D4" i="3"/>
  <c r="C4" i="3"/>
  <c r="B4" i="3"/>
  <c r="E16" i="3"/>
  <c r="E21" i="3"/>
  <c r="C14" i="3"/>
  <c r="B14" i="3"/>
  <c r="C6" i="3"/>
  <c r="B6" i="3"/>
  <c r="C5" i="3"/>
  <c r="D11" i="3"/>
  <c r="B11" i="3"/>
  <c r="C11" i="3"/>
  <c r="D8" i="3"/>
  <c r="B8" i="3"/>
  <c r="C8" i="3"/>
  <c r="D7" i="3"/>
  <c r="B7" i="3"/>
  <c r="D3" i="3"/>
  <c r="B3" i="3"/>
  <c r="E15" i="3"/>
  <c r="C10" i="3" l="1"/>
  <c r="D37" i="3"/>
  <c r="D21" i="3"/>
  <c r="B9" i="3"/>
  <c r="E26" i="3"/>
  <c r="F37" i="3"/>
  <c r="F41" i="3" s="1"/>
  <c r="C37" i="3"/>
  <c r="C41" i="3" s="1"/>
  <c r="B5" i="3"/>
  <c r="B23" i="3"/>
  <c r="G21" i="3"/>
  <c r="B18" i="3"/>
  <c r="B17" i="3"/>
  <c r="B16" i="3"/>
  <c r="B13" i="3"/>
  <c r="B10" i="3"/>
  <c r="B34" i="3"/>
  <c r="E20" i="3"/>
  <c r="B12" i="3"/>
  <c r="B37" i="3"/>
  <c r="B27" i="3" l="1"/>
  <c r="D40" i="3"/>
  <c r="B40" i="3"/>
  <c r="B21" i="3"/>
  <c r="B38" i="3"/>
  <c r="D33" i="3"/>
  <c r="B33" i="3"/>
  <c r="B41" i="3" s="1"/>
  <c r="H13" i="4" s="1"/>
  <c r="F13" i="3"/>
  <c r="B15" i="3"/>
  <c r="D23" i="3"/>
  <c r="D22" i="3"/>
  <c r="C24" i="3"/>
  <c r="E24" i="3"/>
  <c r="E14" i="3" l="1"/>
  <c r="C22" i="3"/>
  <c r="C9" i="3"/>
  <c r="D35" i="3"/>
  <c r="D41" i="3" s="1"/>
  <c r="E40" i="3"/>
  <c r="E41" i="3" s="1"/>
  <c r="F13" i="4" s="1"/>
  <c r="F28" i="3"/>
  <c r="C28" i="3"/>
  <c r="B28" i="3"/>
  <c r="F24" i="3"/>
  <c r="B24" i="3"/>
  <c r="C12" i="3"/>
  <c r="D18" i="3"/>
  <c r="H35" i="3"/>
  <c r="C13" i="4" l="1"/>
  <c r="C25" i="3"/>
  <c r="D25" i="3"/>
  <c r="C18" i="3"/>
  <c r="D10" i="3"/>
  <c r="H33" i="3"/>
  <c r="E22" i="3"/>
  <c r="E28" i="3"/>
  <c r="E5" i="3" l="1"/>
  <c r="C15" i="3" l="1"/>
  <c r="H40" i="3" l="1"/>
  <c r="H41" i="3"/>
  <c r="H26" i="3"/>
  <c r="G22" i="3"/>
  <c r="G29" i="3" s="1"/>
  <c r="B22" i="3"/>
  <c r="H9" i="3"/>
  <c r="H36" i="3"/>
  <c r="H34" i="3"/>
  <c r="H4" i="3"/>
  <c r="E23" i="3"/>
  <c r="E29" i="3" s="1"/>
  <c r="F6" i="4" s="1"/>
  <c r="H15" i="3"/>
  <c r="H38" i="3"/>
  <c r="H11" i="3"/>
  <c r="H7" i="3"/>
  <c r="C3" i="3"/>
  <c r="H39" i="3"/>
  <c r="H27" i="3"/>
  <c r="H25" i="3"/>
  <c r="H21" i="3"/>
  <c r="H20" i="3"/>
  <c r="H19" i="3"/>
  <c r="H18" i="3"/>
  <c r="H17" i="3"/>
  <c r="H16" i="3"/>
  <c r="H14" i="3"/>
  <c r="H13" i="3"/>
  <c r="H12" i="3"/>
  <c r="H10" i="3"/>
  <c r="H8" i="3"/>
  <c r="H6" i="3"/>
  <c r="E37" i="2"/>
  <c r="F14" i="4" s="1"/>
  <c r="G37" i="2"/>
  <c r="H33" i="1"/>
  <c r="H36" i="1"/>
  <c r="F41" i="1"/>
  <c r="G41" i="1"/>
  <c r="C29" i="2"/>
  <c r="B29" i="2"/>
  <c r="C28" i="2"/>
  <c r="D28" i="2"/>
  <c r="D27" i="2"/>
  <c r="B27" i="2"/>
  <c r="C25" i="2"/>
  <c r="D25" i="2"/>
  <c r="C24" i="2"/>
  <c r="C23" i="2"/>
  <c r="D23" i="2"/>
  <c r="D22" i="2"/>
  <c r="C22" i="2"/>
  <c r="B22" i="2"/>
  <c r="C21" i="2"/>
  <c r="D21" i="2"/>
  <c r="C20" i="2"/>
  <c r="D20" i="2"/>
  <c r="C19" i="2"/>
  <c r="D19" i="2"/>
  <c r="D18" i="2"/>
  <c r="C17" i="2"/>
  <c r="D17" i="2"/>
  <c r="C16" i="2"/>
  <c r="D16" i="2"/>
  <c r="C15" i="2"/>
  <c r="B14" i="2"/>
  <c r="C13" i="2"/>
  <c r="D13" i="2"/>
  <c r="B34" i="2"/>
  <c r="C12" i="2"/>
  <c r="B12" i="2"/>
  <c r="D11" i="2"/>
  <c r="B11" i="2"/>
  <c r="C11" i="2"/>
  <c r="D10" i="2"/>
  <c r="C9" i="2"/>
  <c r="D9" i="2"/>
  <c r="D8" i="2"/>
  <c r="B8" i="2"/>
  <c r="C8" i="2"/>
  <c r="D7" i="2"/>
  <c r="B7" i="2"/>
  <c r="C7" i="2"/>
  <c r="C6" i="2"/>
  <c r="B6" i="2"/>
  <c r="C5" i="2"/>
  <c r="C4" i="2"/>
  <c r="D4" i="2"/>
  <c r="D3" i="2"/>
  <c r="B3" i="2"/>
  <c r="E24" i="2"/>
  <c r="F12" i="2"/>
  <c r="H8" i="2" l="1"/>
  <c r="H11" i="2"/>
  <c r="H12" i="2"/>
  <c r="H22" i="2"/>
  <c r="H22" i="3"/>
  <c r="H23" i="3"/>
  <c r="D29" i="3"/>
  <c r="H37" i="3"/>
  <c r="H24" i="3"/>
  <c r="F29" i="3"/>
  <c r="H28" i="3"/>
  <c r="B29" i="3"/>
  <c r="H6" i="4" s="1"/>
  <c r="C29" i="3"/>
  <c r="H3" i="3"/>
  <c r="H5" i="3"/>
  <c r="F34" i="2"/>
  <c r="F37" i="2" s="1"/>
  <c r="E20" i="2"/>
  <c r="C18" i="2"/>
  <c r="B16" i="2"/>
  <c r="E28" i="2"/>
  <c r="E25" i="2"/>
  <c r="E18" i="2"/>
  <c r="E16" i="2"/>
  <c r="E13" i="2"/>
  <c r="B24" i="2"/>
  <c r="H24" i="2" s="1"/>
  <c r="C6" i="4" l="1"/>
  <c r="H16" i="2"/>
  <c r="H29" i="3"/>
  <c r="E3" i="2"/>
  <c r="D26" i="2"/>
  <c r="D30" i="2" s="1"/>
  <c r="B26" i="2"/>
  <c r="B23" i="2"/>
  <c r="B19" i="2"/>
  <c r="B18" i="2"/>
  <c r="H18" i="2" s="1"/>
  <c r="G4" i="2"/>
  <c r="B4" i="2"/>
  <c r="C14" i="2"/>
  <c r="H14" i="2" s="1"/>
  <c r="E29" i="2"/>
  <c r="H29" i="2" s="1"/>
  <c r="E6" i="2"/>
  <c r="H6" i="2" s="1"/>
  <c r="H4" i="2" l="1"/>
  <c r="H3" i="2"/>
  <c r="B5" i="2"/>
  <c r="H5" i="2" s="1"/>
  <c r="B28" i="2" l="1"/>
  <c r="H28" i="2" s="1"/>
  <c r="F26" i="2"/>
  <c r="F30" i="2" s="1"/>
  <c r="C26" i="2"/>
  <c r="B20" i="2"/>
  <c r="H20" i="2" s="1"/>
  <c r="B17" i="2"/>
  <c r="H17" i="2" s="1"/>
  <c r="C35" i="2"/>
  <c r="B35" i="2"/>
  <c r="B25" i="2" l="1"/>
  <c r="B21" i="2"/>
  <c r="B13" i="2"/>
  <c r="H13" i="2" s="1"/>
  <c r="C10" i="2"/>
  <c r="C30" i="2" s="1"/>
  <c r="B10" i="2"/>
  <c r="B9" i="2"/>
  <c r="E26" i="2"/>
  <c r="H26" i="2" s="1"/>
  <c r="B15" i="2"/>
  <c r="H15" i="2" s="1"/>
  <c r="H9" i="2" l="1"/>
  <c r="B30" i="2"/>
  <c r="H7" i="4" s="1"/>
  <c r="H10" i="2"/>
  <c r="B36" i="2"/>
  <c r="G25" i="2"/>
  <c r="G30" i="2" s="1"/>
  <c r="C36" i="2"/>
  <c r="D35" i="2"/>
  <c r="H35" i="2" s="1"/>
  <c r="E27" i="2"/>
  <c r="H27" i="2" s="1"/>
  <c r="E19" i="2"/>
  <c r="H19" i="2" s="1"/>
  <c r="E7" i="2"/>
  <c r="H25" i="2" l="1"/>
  <c r="H7" i="2"/>
  <c r="H36" i="2"/>
  <c r="B37" i="2"/>
  <c r="C34" i="2"/>
  <c r="D34" i="2"/>
  <c r="D37" i="2" s="1"/>
  <c r="C37" i="2" l="1"/>
  <c r="C14" i="4" s="1"/>
  <c r="H34" i="2"/>
  <c r="H14" i="4"/>
  <c r="H37" i="2"/>
  <c r="E23" i="2"/>
  <c r="H23" i="2" s="1"/>
  <c r="E21" i="2"/>
  <c r="C28" i="1"/>
  <c r="D27" i="1"/>
  <c r="B27" i="1"/>
  <c r="G26" i="1"/>
  <c r="H26" i="1" s="1"/>
  <c r="D25" i="1"/>
  <c r="D24" i="1"/>
  <c r="C24" i="1"/>
  <c r="B24" i="1"/>
  <c r="B23" i="1"/>
  <c r="D22" i="1"/>
  <c r="B22" i="1"/>
  <c r="D21" i="1"/>
  <c r="B21" i="1"/>
  <c r="B20" i="1"/>
  <c r="B19" i="1"/>
  <c r="C18" i="1"/>
  <c r="D18" i="1"/>
  <c r="C17" i="1"/>
  <c r="B17" i="1"/>
  <c r="C16" i="1"/>
  <c r="C35" i="1"/>
  <c r="B35" i="1"/>
  <c r="C15" i="1"/>
  <c r="B15" i="1"/>
  <c r="H15" i="1" s="1"/>
  <c r="D14" i="1"/>
  <c r="B14" i="1"/>
  <c r="C12" i="1"/>
  <c r="B12" i="1"/>
  <c r="D13" i="1"/>
  <c r="B13" i="1"/>
  <c r="D11" i="1"/>
  <c r="B10" i="1"/>
  <c r="B9" i="1"/>
  <c r="D8" i="1"/>
  <c r="D7" i="1"/>
  <c r="B7" i="1"/>
  <c r="C6" i="1"/>
  <c r="B6" i="1"/>
  <c r="C5" i="1"/>
  <c r="B5" i="1"/>
  <c r="H5" i="1" s="1"/>
  <c r="D4" i="1"/>
  <c r="B4" i="1"/>
  <c r="D3" i="1"/>
  <c r="B3" i="1"/>
  <c r="E11" i="1"/>
  <c r="E8" i="1"/>
  <c r="E16" i="1"/>
  <c r="H21" i="2" l="1"/>
  <c r="H30" i="2" s="1"/>
  <c r="E30" i="2"/>
  <c r="C25" i="1"/>
  <c r="D20" i="1"/>
  <c r="G17" i="1"/>
  <c r="C14" i="1"/>
  <c r="H14" i="1" s="1"/>
  <c r="B11" i="1"/>
  <c r="C9" i="1"/>
  <c r="B8" i="1"/>
  <c r="E25" i="1"/>
  <c r="E17" i="1"/>
  <c r="B28" i="1"/>
  <c r="F25" i="1"/>
  <c r="G24" i="1"/>
  <c r="H24" i="1" s="1"/>
  <c r="F12" i="1"/>
  <c r="F29" i="1" s="1"/>
  <c r="B18" i="1"/>
  <c r="H18" i="1" s="1"/>
  <c r="B16" i="1"/>
  <c r="H16" i="1" s="1"/>
  <c r="E35" i="1"/>
  <c r="H35" i="1" s="1"/>
  <c r="C8" i="1"/>
  <c r="C3" i="1"/>
  <c r="B40" i="1"/>
  <c r="C38" i="1"/>
  <c r="B38" i="1"/>
  <c r="D23" i="1"/>
  <c r="C22" i="1"/>
  <c r="C13" i="1"/>
  <c r="H13" i="1" s="1"/>
  <c r="E6" i="1"/>
  <c r="H6" i="1" s="1"/>
  <c r="H38" i="1" l="1"/>
  <c r="F7" i="4"/>
  <c r="C7" i="4"/>
  <c r="H8" i="1"/>
  <c r="H12" i="1"/>
  <c r="E37" i="1"/>
  <c r="H37" i="1" s="1"/>
  <c r="C40" i="1" l="1"/>
  <c r="H40" i="1" s="1"/>
  <c r="B25" i="1"/>
  <c r="C23" i="1"/>
  <c r="E34" i="1"/>
  <c r="E41" i="1" l="1"/>
  <c r="F15" i="4" s="1"/>
  <c r="H34" i="1"/>
  <c r="B29" i="1"/>
  <c r="H8" i="4" s="1"/>
  <c r="D39" i="1"/>
  <c r="D41" i="1" s="1"/>
  <c r="E23" i="1"/>
  <c r="H23" i="1" s="1"/>
  <c r="E19" i="1"/>
  <c r="B39" i="1"/>
  <c r="C39" i="1"/>
  <c r="C41" i="1" s="1"/>
  <c r="C15" i="4" s="1"/>
  <c r="D19" i="1"/>
  <c r="C19" i="1"/>
  <c r="C10" i="1"/>
  <c r="D9" i="1"/>
  <c r="E3" i="1"/>
  <c r="E20" i="1"/>
  <c r="D10" i="1"/>
  <c r="C4" i="1"/>
  <c r="E27" i="1"/>
  <c r="C21" i="1"/>
  <c r="H21" i="1" s="1"/>
  <c r="C20" i="1"/>
  <c r="D17" i="1"/>
  <c r="H17" i="1" s="1"/>
  <c r="C11" i="1"/>
  <c r="H11" i="1" s="1"/>
  <c r="C27" i="1"/>
  <c r="H27" i="1" s="1"/>
  <c r="G25" i="1"/>
  <c r="G29" i="1" s="1"/>
  <c r="E28" i="1"/>
  <c r="H28" i="1" s="1"/>
  <c r="H19" i="1" l="1"/>
  <c r="D29" i="1"/>
  <c r="H9" i="1"/>
  <c r="H4" i="1"/>
  <c r="H20" i="1"/>
  <c r="H3" i="1"/>
  <c r="H10" i="1"/>
  <c r="H39" i="1"/>
  <c r="H41" i="1" s="1"/>
  <c r="B41" i="1"/>
  <c r="H15" i="4" s="1"/>
  <c r="H25" i="1"/>
  <c r="E22" i="1"/>
  <c r="H22" i="1" s="1"/>
  <c r="C7" i="1"/>
  <c r="H7" i="1" s="1"/>
  <c r="H29" i="1" l="1"/>
  <c r="E29" i="1"/>
  <c r="F8" i="4" s="1"/>
  <c r="C29" i="1"/>
  <c r="C8" i="4" l="1"/>
</calcChain>
</file>

<file path=xl/sharedStrings.xml><?xml version="1.0" encoding="utf-8"?>
<sst xmlns="http://schemas.openxmlformats.org/spreadsheetml/2006/main" count="242" uniqueCount="90">
  <si>
    <t>Albini</t>
  </si>
  <si>
    <t>Ferie</t>
  </si>
  <si>
    <t>Permessi</t>
  </si>
  <si>
    <t>Rol</t>
  </si>
  <si>
    <t>Malattia</t>
  </si>
  <si>
    <t>Assandri</t>
  </si>
  <si>
    <t>Bassi</t>
  </si>
  <si>
    <t>Benigni</t>
  </si>
  <si>
    <t>Dipendente</t>
  </si>
  <si>
    <t>Bertocchi</t>
  </si>
  <si>
    <t>Capriotti</t>
  </si>
  <si>
    <t>Casirati</t>
  </si>
  <si>
    <t>Cattoglio</t>
  </si>
  <si>
    <t>Gandini</t>
  </si>
  <si>
    <t>Garzini</t>
  </si>
  <si>
    <t>Garlappi</t>
  </si>
  <si>
    <t>Ghilardi</t>
  </si>
  <si>
    <t>Giavardi</t>
  </si>
  <si>
    <t>Guerini Rocco</t>
  </si>
  <si>
    <t>Grossi</t>
  </si>
  <si>
    <t>Ligui</t>
  </si>
  <si>
    <t>Liso</t>
  </si>
  <si>
    <t>Marchesi</t>
  </si>
  <si>
    <t>Martinelli</t>
  </si>
  <si>
    <t>Occhioni</t>
  </si>
  <si>
    <t>Paiardi</t>
  </si>
  <si>
    <t>Pasquadibisceglie</t>
  </si>
  <si>
    <t>Passafaro</t>
  </si>
  <si>
    <t>Patrini</t>
  </si>
  <si>
    <t>Scaglia</t>
  </si>
  <si>
    <t>Sironi</t>
  </si>
  <si>
    <t>Vanazzi</t>
  </si>
  <si>
    <t>Vitari</t>
  </si>
  <si>
    <t>Carelli</t>
  </si>
  <si>
    <t>Galli</t>
  </si>
  <si>
    <t>Giroletti</t>
  </si>
  <si>
    <t>Pontigia</t>
  </si>
  <si>
    <t>Tinini</t>
  </si>
  <si>
    <t>Perugi</t>
  </si>
  <si>
    <t>Altre assenze</t>
  </si>
  <si>
    <t>Altre ass non r.</t>
  </si>
  <si>
    <t>Totale</t>
  </si>
  <si>
    <t>Testori</t>
  </si>
  <si>
    <t>Soriano</t>
  </si>
  <si>
    <t>Capelli</t>
  </si>
  <si>
    <t>Bealli</t>
  </si>
  <si>
    <t>Bordiga</t>
  </si>
  <si>
    <t>Tosetti</t>
  </si>
  <si>
    <t>Baroni</t>
  </si>
  <si>
    <t>Bonizzi</t>
  </si>
  <si>
    <t>Ore effettive lavorate</t>
  </si>
  <si>
    <t>Ore potenzialmente lavorabili</t>
  </si>
  <si>
    <t>Ore di assenza per malattia</t>
  </si>
  <si>
    <t>Ore di ferie previste</t>
  </si>
  <si>
    <t>Ore di ferie usufruite</t>
  </si>
  <si>
    <t>Anno</t>
  </si>
  <si>
    <t>Personale impiegato per 12 mesi</t>
  </si>
  <si>
    <t>Personale stagionale, assunti/cessati nel corso dell'anno</t>
  </si>
  <si>
    <t>Ore di assenza</t>
  </si>
  <si>
    <t>Ore lavorate</t>
  </si>
  <si>
    <t>Ore lavorabili</t>
  </si>
  <si>
    <t>Ferie maturate</t>
  </si>
  <si>
    <t>Dicembre</t>
  </si>
  <si>
    <t>Novembre</t>
  </si>
  <si>
    <t>Ottobre</t>
  </si>
  <si>
    <t>Settembre</t>
  </si>
  <si>
    <t>Agosto</t>
  </si>
  <si>
    <t>Luglio</t>
  </si>
  <si>
    <t>Giugno</t>
  </si>
  <si>
    <t>Maggio</t>
  </si>
  <si>
    <t>Aprile</t>
  </si>
  <si>
    <t>Marzo</t>
  </si>
  <si>
    <t>Febbraio</t>
  </si>
  <si>
    <t>Gennaio</t>
  </si>
  <si>
    <t>Uscite</t>
  </si>
  <si>
    <t>Entrate</t>
  </si>
  <si>
    <t>Ore di assenza: permessi ex-festività, rol, malattia, altre assenze (permessi lutto, permessi elettorali..), altre assenze non retribuite (aspettative, permessi non retribuiti).</t>
  </si>
  <si>
    <t>Le ore di assenza per maternità, congedo parentale, allattamento, congedo matrimoniale non sono state inserite.</t>
  </si>
  <si>
    <t>Dati stress lavoro-correlato 2015-2017 ASM Pandino</t>
  </si>
  <si>
    <t>Andamento organico ASM Pandino 2015-2017</t>
  </si>
  <si>
    <t>01.01</t>
  </si>
  <si>
    <t>31.12</t>
  </si>
  <si>
    <t>Media</t>
  </si>
  <si>
    <t>29*</t>
  </si>
  <si>
    <t>* un dipendente cessato al 31.12, è stato conteggiato nel saldo di fine anno.</t>
  </si>
  <si>
    <t>Tasso di assenza</t>
  </si>
  <si>
    <t>Tasso Assenza</t>
  </si>
  <si>
    <t>Modalità di assenze conteggiate: ferie, permessi ex-festività, rol, malattia, altre assenze (permessi lutto, permessi elettorali..), altre assenze non retribuite (aspettative, permessi non retribuiti).</t>
  </si>
  <si>
    <t>Le assenze per maternità, congedo parentale, allattamento, congedo matrimoniale non sono state inserite.</t>
  </si>
  <si>
    <t>TASSO ASSENZE 2015-2017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</si>
</sst>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rgb="FF000000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/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0" xfId="0" applyFont="1" applyBorder="1"/>
    <xf numFmtId="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Fill="1" applyBorder="1"/>
    <xf numFmtId="0" fontId="0" fillId="0" borderId="0" xfId="0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/>
    <xf numFmtId="0" fontId="0" fillId="0" borderId="0" xfId="0" applyNumberFormat="1" applyFont="1" applyAlignment="1">
      <alignment horizontal="center"/>
    </xf>
    <xf numFmtId="0" fontId="3" fillId="0" borderId="0" xfId="0" applyFont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16" xfId="0" quotePrefix="1" applyFont="1" applyBorder="1" applyAlignment="1">
      <alignment horizontal="center"/>
    </xf>
    <xf numFmtId="0" fontId="0" fillId="0" borderId="17" xfId="0" quotePrefix="1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4" fontId="7" fillId="0" borderId="0" xfId="0" applyNumberFormat="1" applyFont="1"/>
    <xf numFmtId="9" fontId="7" fillId="0" borderId="0" xfId="1" applyFont="1"/>
    <xf numFmtId="0" fontId="7" fillId="0" borderId="20" xfId="0" applyFont="1" applyBorder="1"/>
    <xf numFmtId="9" fontId="7" fillId="0" borderId="20" xfId="1" applyFont="1" applyBorder="1"/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112"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rgb="FF000000"/>
        <name val="Cambria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rgb="FF000000"/>
        <name val="Cambria"/>
        <family val="1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mbria"/>
        <family val="1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thin">
          <color theme="1"/>
        </top>
      </border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theme="1"/>
        </top>
      </border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thin">
          <color theme="1"/>
        </top>
      </border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464820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A0DD0F-CCB2-42E2-9DA5-FE4679F5C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7442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464820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1C2CCC-9F6F-42D7-A350-F5E10985B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7442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99060</xdr:colOff>
      <xdr:row>0</xdr:row>
      <xdr:rowOff>38100</xdr:rowOff>
    </xdr:from>
    <xdr:to>
      <xdr:col>9</xdr:col>
      <xdr:colOff>137160</xdr:colOff>
      <xdr:row>2</xdr:row>
      <xdr:rowOff>205740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BCAAAD5-688E-4ABF-AAE5-FE9A18429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37220" y="38100"/>
          <a:ext cx="105156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EA11F1-F02A-48C2-B485-64A9BF6C792A}" name="Tabella1" displayName="Tabella1" ref="A2:K29" totalsRowShown="0">
  <autoFilter ref="A2:K29" xr:uid="{22AB5DFF-1917-46D4-B465-1A156B031472}"/>
  <tableColumns count="11">
    <tableColumn id="1" xr3:uid="{7A4ADBFD-D910-41C9-A830-DF0AB248AFF5}" name="Dipendente"/>
    <tableColumn id="2" xr3:uid="{001780C3-D21C-4E52-8BE5-2DD45B3C1811}" name="Ferie" dataDxfId="111"/>
    <tableColumn id="3" xr3:uid="{ADB706FB-A29D-4F30-8439-561038ACC206}" name="Permessi" dataDxfId="110"/>
    <tableColumn id="4" xr3:uid="{532EDCD3-D884-4E4C-91B3-8B89D747C268}" name="Rol" dataDxfId="109"/>
    <tableColumn id="5" xr3:uid="{0649FB3B-3FCB-4B65-9CBE-23743144EC2A}" name="Malattia" dataDxfId="108"/>
    <tableColumn id="7" xr3:uid="{A201F023-55F7-42F1-BBA0-E2FA246BD2D3}" name="Altre assenze" dataDxfId="107">
      <calculatedColumnFormula>8</calculatedColumnFormula>
    </tableColumn>
    <tableColumn id="6" xr3:uid="{F4A16B2E-3FB4-4872-A99B-94ED59C1B724}" name="Altre ass non r." dataDxfId="106">
      <calculatedColumnFormula>19</calculatedColumnFormula>
    </tableColumn>
    <tableColumn id="8" xr3:uid="{3B8A99C9-EB7A-4D1C-A26A-A61BAE8C7E85}" name="Totale" dataDxfId="105">
      <calculatedColumnFormula>SUM(Tabella1[[#This Row],[Ferie]:[Altre ass non r.]])</calculatedColumnFormula>
    </tableColumn>
    <tableColumn id="9" xr3:uid="{2C380618-BF91-4B70-9594-BF9F9487B0A6}" name="Ore lavorate" dataDxfId="104"/>
    <tableColumn id="10" xr3:uid="{C47B0445-3671-47A9-9542-E2FC47BEE1EB}" name="Ore lavorabili" dataDxfId="103"/>
    <tableColumn id="11" xr3:uid="{6CDF88AE-2CED-461A-8103-AD27475E7F3E}" name="Ferie maturate" dataDxfId="102"/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7DC0AF3-9689-4710-BF67-5D347236F349}" name="Tabella911" displayName="Tabella911" ref="B12:H15" totalsRowShown="0" headerRowDxfId="8" dataDxfId="7">
  <autoFilter ref="B12:H15" xr:uid="{28DF8A0F-3DA6-4FA4-9A42-FBC635739AD3}"/>
  <tableColumns count="7">
    <tableColumn id="1" xr3:uid="{55928D2B-C3CC-46E6-B9FA-636471BA6A6C}" name="Anno" dataDxfId="6"/>
    <tableColumn id="2" xr3:uid="{4F649882-E701-4F34-9E30-9832024980DF}" name="Ore di assenza" dataDxfId="5"/>
    <tableColumn id="3" xr3:uid="{387CD257-DDBE-4491-9448-D5791CACC1A2}" name="Ore effettive lavorate" dataDxfId="4">
      <calculatedColumnFormula>'2017'!I39</calculatedColumnFormula>
    </tableColumn>
    <tableColumn id="4" xr3:uid="{C1875FA5-20B0-465F-B131-400E5A70613D}" name="Ore potenzialmente lavorabili" dataDxfId="3">
      <calculatedColumnFormula>'2017'!J39</calculatedColumnFormula>
    </tableColumn>
    <tableColumn id="5" xr3:uid="{78C0E181-5298-45F7-89F9-B315030BC394}" name="Ore di assenza per malattia" dataDxfId="2"/>
    <tableColumn id="6" xr3:uid="{90465A3F-328F-42CD-9F11-BBE1020AD888}" name="Ore di ferie previste" dataDxfId="1">
      <calculatedColumnFormula>'2015'!K41</calculatedColumnFormula>
    </tableColumn>
    <tableColumn id="7" xr3:uid="{8A058C29-AB89-4FF9-B920-262E065DE870}" name="Ore di ferie usufruite" dataDxfId="0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31302ED-7129-42E9-A848-67E8864E2F36}" name="Tabella2" displayName="Tabella2" ref="A32:K41" totalsRowShown="0" headerRowDxfId="101" headerRowBorderDxfId="100" tableBorderDxfId="99">
  <autoFilter ref="A32:K41" xr:uid="{3D9235E2-653E-4F79-8936-DEAC82922F8F}"/>
  <tableColumns count="11">
    <tableColumn id="1" xr3:uid="{18D830B7-33F8-425A-B64D-C32300416042}" name="Dipendente"/>
    <tableColumn id="2" xr3:uid="{57D1F3E9-0908-40CC-A484-238863802A9A}" name="Ferie" dataDxfId="98">
      <calculatedColumnFormula>12+6</calculatedColumnFormula>
    </tableColumn>
    <tableColumn id="3" xr3:uid="{90012BDB-6785-4124-9C30-BCDA67503A41}" name="Permessi" dataDxfId="97">
      <calculatedColumnFormula>6.5+31</calculatedColumnFormula>
    </tableColumn>
    <tableColumn id="4" xr3:uid="{C7934670-4E62-44B7-80C4-99A8805056A5}" name="Rol" dataDxfId="96">
      <calculatedColumnFormula>17+8+13+6+14</calculatedColumnFormula>
    </tableColumn>
    <tableColumn id="5" xr3:uid="{032ACCE6-626E-4A95-B81E-72F1638A9BEB}" name="Malattia" dataDxfId="95">
      <calculatedColumnFormula>20</calculatedColumnFormula>
    </tableColumn>
    <tableColumn id="7" xr3:uid="{7F67D007-2DCC-42D2-B4C4-390DE96CF95F}" name="Altre assenze" dataDxfId="94"/>
    <tableColumn id="6" xr3:uid="{59084379-598A-4F40-84C0-22B70348B985}" name="Altre ass non r." dataDxfId="93"/>
    <tableColumn id="8" xr3:uid="{51C92959-7714-4528-B092-2DB73477F5BD}" name="Totale" dataDxfId="92">
      <calculatedColumnFormula>SUM(Tabella2[[#This Row],[Ferie]:[Altre ass non r.]])</calculatedColumnFormula>
    </tableColumn>
    <tableColumn id="9" xr3:uid="{9709C094-5A55-4A44-BF85-3F393C83BDF7}" name="Ore lavorate" dataDxfId="91"/>
    <tableColumn id="10" xr3:uid="{7951C920-15EF-4C98-B281-E302A21BBF5D}" name="Ore lavorabili" dataDxfId="90"/>
    <tableColumn id="11" xr3:uid="{A3938D39-58C6-4E67-88C8-0C5C0E4F4EB9}" name="Ferie maturate" dataDxfId="89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D5428F1-D768-4F3A-BFC7-5D192B390AB0}" name="Tabella3" displayName="Tabella3" ref="A2:K30" totalsRowShown="0" headerRowDxfId="88" headerRowBorderDxfId="87" tableBorderDxfId="86">
  <autoFilter ref="A2:K30" xr:uid="{33D53B6F-6954-4516-9E9E-A127C6EE6D7C}"/>
  <tableColumns count="11">
    <tableColumn id="1" xr3:uid="{69F370C0-0BBC-4A41-97EF-70B27C7EDCD7}" name="Dipendente"/>
    <tableColumn id="2" xr3:uid="{6AB8F111-12EB-4D4B-ABB2-EDBB0FFCE4BD}" name="Ferie" dataDxfId="85">
      <calculatedColumnFormula>20</calculatedColumnFormula>
    </tableColumn>
    <tableColumn id="3" xr3:uid="{B07F2A71-3752-4320-AB84-B7F583DBDD9A}" name="Permessi" dataDxfId="84">
      <calculatedColumnFormula>7</calculatedColumnFormula>
    </tableColumn>
    <tableColumn id="4" xr3:uid="{B48641BB-B4DD-4743-AF64-08DF7060F109}" name="Rol" dataDxfId="83">
      <calculatedColumnFormula>6.25</calculatedColumnFormula>
    </tableColumn>
    <tableColumn id="5" xr3:uid="{69AC2367-E0A6-4A27-B8C0-1CCB9E6E26D1}" name="Malattia" dataDxfId="82">
      <calculatedColumnFormula>9</calculatedColumnFormula>
    </tableColumn>
    <tableColumn id="6" xr3:uid="{AF002B8A-4AB4-4270-8E85-0FA17A7D3750}" name="Altre assenze" dataDxfId="81">
      <calculatedColumnFormula>2+2</calculatedColumnFormula>
    </tableColumn>
    <tableColumn id="7" xr3:uid="{FF9B0BE5-4C2D-4CB7-81FC-B838ADBEBCE3}" name="Altre ass non r." dataDxfId="80">
      <calculatedColumnFormula>1+0.5</calculatedColumnFormula>
    </tableColumn>
    <tableColumn id="8" xr3:uid="{5C3BEE40-07CA-4F9F-82EF-851F885AE3BB}" name="Totale" dataDxfId="79">
      <calculatedColumnFormula>SUM(Tabella3[[#This Row],[Ferie]:[Altre ass non r.]])</calculatedColumnFormula>
    </tableColumn>
    <tableColumn id="9" xr3:uid="{2A31A916-CC4E-4E45-97E9-57B6CAB0DDC1}" name="Ore lavorate" dataDxfId="78"/>
    <tableColumn id="10" xr3:uid="{6EBBF2F1-17E6-4FF9-8D4A-3E69E5258BF5}" name="Ore lavorabili" dataDxfId="77"/>
    <tableColumn id="11" xr3:uid="{57D03016-0116-46A7-BE7A-50193D57539F}" name="Ferie maturate" dataDxfId="76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240D281-A003-4C03-BE99-927C967A0AE8}" name="Tabella5" displayName="Tabella5" ref="A33:K37" totalsRowShown="0" headerRowDxfId="75" headerRowBorderDxfId="74" tableBorderDxfId="73">
  <autoFilter ref="A33:K37" xr:uid="{E18AB5D2-57DB-4178-A64D-0EA7B231F961}"/>
  <tableColumns count="11">
    <tableColumn id="1" xr3:uid="{C6F54696-CAF8-4429-83B8-320B1C525809}" name="Dipendente"/>
    <tableColumn id="2" xr3:uid="{8FC1D5C5-1482-4864-AE10-68DBD4EFB5A3}" name="Ferie" dataDxfId="72">
      <calculatedColumnFormula>5.5</calculatedColumnFormula>
    </tableColumn>
    <tableColumn id="3" xr3:uid="{5A00CF49-3E07-4652-B1A7-32EA087FDB8E}" name="Permessi" dataDxfId="71">
      <calculatedColumnFormula>4</calculatedColumnFormula>
    </tableColumn>
    <tableColumn id="4" xr3:uid="{C70ECD48-B338-4344-9620-6CB006EDCA31}" name="Rol" dataDxfId="70">
      <calculatedColumnFormula>1</calculatedColumnFormula>
    </tableColumn>
    <tableColumn id="5" xr3:uid="{47ECB92E-6BBA-449B-9D5A-89226A12386A}" name="Malattia" dataDxfId="69"/>
    <tableColumn id="6" xr3:uid="{346433FD-A40A-4BE4-B6C3-DB5436417B80}" name="Altre assenze" dataDxfId="68">
      <calculatedColumnFormula>11</calculatedColumnFormula>
    </tableColumn>
    <tableColumn id="7" xr3:uid="{A4253A57-4F21-4E57-A1EA-7D8759D61702}" name="Altre ass non r." dataDxfId="67"/>
    <tableColumn id="8" xr3:uid="{A966ED64-D3B2-4D09-9751-EB14E9B1D63C}" name="Totale" dataDxfId="66">
      <calculatedColumnFormula>SUM(Tabella5[[#This Row],[Ferie]:[Altre ass non r.]])</calculatedColumnFormula>
    </tableColumn>
    <tableColumn id="9" xr3:uid="{545F22F2-9CE4-4429-A2F2-41BC00EF2DF2}" name="Ore lavorate" dataDxfId="65"/>
    <tableColumn id="10" xr3:uid="{A425555B-A720-48BD-B397-C8C4C5354528}" name="Ore lavorabili" dataDxfId="64"/>
    <tableColumn id="11" xr3:uid="{B8CA4D84-58ED-44AE-BB04-D97295007CF8}" name="Ferie maturate" dataDxfId="63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ADC01BF-E82E-4616-923F-CB0B520BEA30}" name="Tabella35" displayName="Tabella35" ref="A2:K29" totalsRowShown="0" headerRowDxfId="62" headerRowBorderDxfId="61" tableBorderDxfId="60">
  <autoFilter ref="A2:K29" xr:uid="{33D53B6F-6954-4516-9E9E-A127C6EE6D7C}"/>
  <tableColumns count="11">
    <tableColumn id="1" xr3:uid="{B82F97A1-893E-41DF-85C6-BB124CDCF6C1}" name="Dipendente"/>
    <tableColumn id="2" xr3:uid="{BAEB7FA6-33DB-4AA8-941D-45E1B7BD9630}" name="Ferie" dataDxfId="59">
      <calculatedColumnFormula>20</calculatedColumnFormula>
    </tableColumn>
    <tableColumn id="3" xr3:uid="{105AF737-3B52-4078-97B4-213FC9908C9E}" name="Permessi" dataDxfId="58">
      <calculatedColumnFormula>7</calculatedColumnFormula>
    </tableColumn>
    <tableColumn id="4" xr3:uid="{0CACC399-60BD-4A99-8E83-78D37123C01F}" name="Rol" dataDxfId="57">
      <calculatedColumnFormula>6.25</calculatedColumnFormula>
    </tableColumn>
    <tableColumn id="5" xr3:uid="{58DE9B41-E70E-4405-90B0-445E9F09BDDC}" name="Malattia" dataDxfId="56">
      <calculatedColumnFormula>9</calculatedColumnFormula>
    </tableColumn>
    <tableColumn id="6" xr3:uid="{277D008C-9F98-459B-868F-902C72A22F31}" name="Altre assenze" dataDxfId="55">
      <calculatedColumnFormula>2+2</calculatedColumnFormula>
    </tableColumn>
    <tableColumn id="7" xr3:uid="{5E1D906B-2AA9-425C-80CD-A386C9106AFB}" name="Altre ass non r." dataDxfId="54">
      <calculatedColumnFormula>1+0.5</calculatedColumnFormula>
    </tableColumn>
    <tableColumn id="8" xr3:uid="{F6CF6E92-E2AE-4965-A5F5-7BB227F2FB89}" name="Totale" dataDxfId="53">
      <calculatedColumnFormula>SUM(Tabella35[[#This Row],[Ferie]:[Altre ass non r.]])</calculatedColumnFormula>
    </tableColumn>
    <tableColumn id="9" xr3:uid="{EDB2B60E-3B97-4F7D-A445-7BCEA147E1FA}" name="Ore lavorate" dataDxfId="52"/>
    <tableColumn id="10" xr3:uid="{C72FD7F8-B1B2-4DB5-8363-B02392D931BC}" name="Ore lavorabili" dataDxfId="51"/>
    <tableColumn id="11" xr3:uid="{A57B68F3-B81B-4C19-B996-8AFFEE493B8A}" name="Ferie maturate" dataDxfId="50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8FD5886-DE02-4CBF-9646-A8EBC866F954}" name="Tabella57" displayName="Tabella57" ref="A32:K41" totalsRowShown="0" headerRowDxfId="49" headerRowBorderDxfId="48" tableBorderDxfId="47">
  <autoFilter ref="A32:K41" xr:uid="{E18AB5D2-57DB-4178-A64D-0EA7B231F961}"/>
  <tableColumns count="11">
    <tableColumn id="1" xr3:uid="{09E0E4AC-2AC0-46FD-B6E5-A972C747B077}" name="Dipendente"/>
    <tableColumn id="2" xr3:uid="{5CBBEE38-B380-45F7-86F9-CBF9D7BDD9EA}" name="Ferie" dataDxfId="46">
      <calculatedColumnFormula>15</calculatedColumnFormula>
    </tableColumn>
    <tableColumn id="3" xr3:uid="{A88CC832-005C-45FE-B480-9173E23AD4FE}" name="Permessi" dataDxfId="45">
      <calculatedColumnFormula>7.5</calculatedColumnFormula>
    </tableColumn>
    <tableColumn id="4" xr3:uid="{29E8145E-432A-4440-A1A5-F9D5ACC6E69E}" name="Rol" dataDxfId="44">
      <calculatedColumnFormula>8+6+6+6.5+6</calculatedColumnFormula>
    </tableColumn>
    <tableColumn id="5" xr3:uid="{E6449E64-CE44-489A-A0B2-7A7888D7629A}" name="Malattia" dataDxfId="43">
      <calculatedColumnFormula>101</calculatedColumnFormula>
    </tableColumn>
    <tableColumn id="6" xr3:uid="{9BD83718-71D1-4BFA-938A-74017E9C4CE0}" name="Altre assenze" dataDxfId="42">
      <calculatedColumnFormula>4+22.5+21+4+7.5</calculatedColumnFormula>
    </tableColumn>
    <tableColumn id="7" xr3:uid="{C9AF2CF1-0102-4E3F-B98E-EAB67B3481AA}" name="Altre ass non r." dataDxfId="41"/>
    <tableColumn id="8" xr3:uid="{5CDD1701-9BBE-4120-95EA-3E7EE49B19C3}" name="Totale" dataDxfId="40">
      <calculatedColumnFormula>SUM(Tabella57[[#This Row],[Ferie]:[Altre ass non r.]])</calculatedColumnFormula>
    </tableColumn>
    <tableColumn id="9" xr3:uid="{72324EC0-85A4-48A6-A534-A676BC9E508C}" name="Ore lavorate" dataDxfId="39"/>
    <tableColumn id="10" xr3:uid="{823FE199-FF34-449A-ADE9-8E83422E3E22}" name="Ore lavorabili" dataDxfId="38"/>
    <tableColumn id="11" xr3:uid="{F66799FF-3C11-4369-BD0D-C6AED02DCAE6}" name="Ferie maturate" dataDxfId="37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1B205DE-83FA-454A-B5F4-0D245508FCAF}" name="Tabella7" displayName="Tabella7" ref="B5:I8" totalsRowShown="0" headerRowDxfId="29" dataDxfId="28">
  <autoFilter ref="B5:I8" xr:uid="{7196D407-1A72-429C-ACF3-54CC04C81AD7}"/>
  <tableColumns count="8">
    <tableColumn id="1" xr3:uid="{4F58631D-77CA-4B92-9458-3EF36C259858}" name="Anno" dataDxfId="36"/>
    <tableColumn id="2" xr3:uid="{E49312E6-F607-4FA5-B62B-F4328726C84D}" name="Ore di assenza" dataDxfId="35"/>
    <tableColumn id="3" xr3:uid="{1C5A3177-AC84-47A3-B79C-4870F2C75A1D}" name="Ore effettive lavorate" dataDxfId="34">
      <calculatedColumnFormula>'2017'!I27</calculatedColumnFormula>
    </tableColumn>
    <tableColumn id="4" xr3:uid="{95C0DBB8-01B8-485C-8B93-73D407A507C7}" name="Ore potenzialmente lavorabili" dataDxfId="33">
      <calculatedColumnFormula>'2017'!J27</calculatedColumnFormula>
    </tableColumn>
    <tableColumn id="5" xr3:uid="{D660FD85-48A4-47AC-A830-FDD4A0ECD2C1}" name="Ore di assenza per malattia" dataDxfId="32"/>
    <tableColumn id="6" xr3:uid="{4D81F1A9-2DA7-4FE0-A5D5-1C8F5BA08C2C}" name="Ore di ferie previste" dataDxfId="31">
      <calculatedColumnFormula>'2016'!K29</calculatedColumnFormula>
    </tableColumn>
    <tableColumn id="7" xr3:uid="{6B632C22-6996-4782-ADA9-05F3B35FAE99}" name="Ore di ferie usufruite" dataDxfId="30"/>
    <tableColumn id="8" xr3:uid="{D3BA587C-C85C-4FFD-9214-5B4D1D0A2C80}" name="Tasso di assenza" dataDxfId="18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DCADFFC-6261-4B6D-B7BE-C95F4DA6BA5B}" name="Tabella9" displayName="Tabella9" ref="B12:H15" totalsRowShown="0" headerRowDxfId="20" dataDxfId="19">
  <autoFilter ref="B12:H15" xr:uid="{28DF8A0F-3DA6-4FA4-9A42-FBC635739AD3}"/>
  <tableColumns count="7">
    <tableColumn id="1" xr3:uid="{66DE9E89-E865-406A-8DC7-F38B8138DAD1}" name="Anno" dataDxfId="27"/>
    <tableColumn id="2" xr3:uid="{78B5C20A-C58F-4FE5-AC27-6C8DB9D9843E}" name="Ore di assenza" dataDxfId="26"/>
    <tableColumn id="3" xr3:uid="{50C7F95D-6677-4BEB-9976-3F6600E3BCA2}" name="Ore effettive lavorate" dataDxfId="25">
      <calculatedColumnFormula>'2017'!I39</calculatedColumnFormula>
    </tableColumn>
    <tableColumn id="4" xr3:uid="{179D1E32-922A-4746-9D94-6C67E4C49E3D}" name="Ore potenzialmente lavorabili" dataDxfId="24">
      <calculatedColumnFormula>'2017'!J39</calculatedColumnFormula>
    </tableColumn>
    <tableColumn id="5" xr3:uid="{5A3A619F-ED25-45F5-AFC0-7B4FE79A180D}" name="Ore di assenza per malattia" dataDxfId="23"/>
    <tableColumn id="6" xr3:uid="{694F275E-4A78-47D1-AE89-97FCE435BBEF}" name="Ore di ferie previste" dataDxfId="22">
      <calculatedColumnFormula>'2015'!K41</calculatedColumnFormula>
    </tableColumn>
    <tableColumn id="7" xr3:uid="{B789E69C-08B5-44CC-B62B-693405A2FA54}" name="Ore di ferie usufruite" dataDxfId="21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84FD2DE-D3DD-4EDC-B2C8-76EBE953E422}" name="Tabella79" displayName="Tabella79" ref="B5:H8" totalsRowShown="0" headerRowDxfId="17" dataDxfId="16">
  <autoFilter ref="B5:H8" xr:uid="{7196D407-1A72-429C-ACF3-54CC04C81AD7}"/>
  <tableColumns count="7">
    <tableColumn id="1" xr3:uid="{B412A5C3-9F49-4F38-BDBA-ED02DB8F7199}" name="Anno" dataDxfId="15"/>
    <tableColumn id="2" xr3:uid="{20B1B2AB-A4C1-4934-B042-5355F3EDE9C4}" name="Ore di assenza" dataDxfId="14"/>
    <tableColumn id="3" xr3:uid="{A2B7A949-8BDB-4404-931B-FD45B35ADCDE}" name="Ore effettive lavorate" dataDxfId="13">
      <calculatedColumnFormula>'2017'!I27</calculatedColumnFormula>
    </tableColumn>
    <tableColumn id="4" xr3:uid="{E8C8FA32-B839-475D-8547-8A31FA3FE463}" name="Ore potenzialmente lavorabili" dataDxfId="12">
      <calculatedColumnFormula>'2017'!J27</calculatedColumnFormula>
    </tableColumn>
    <tableColumn id="5" xr3:uid="{B3BF2EDD-0045-46A2-8597-851BA10A082F}" name="Ore di assenza per malattia" dataDxfId="11"/>
    <tableColumn id="6" xr3:uid="{DECED28E-55C6-4CD1-BB7D-F8BA549597DB}" name="Ore di ferie previste" dataDxfId="10">
      <calculatedColumnFormula>'2016'!K29</calculatedColumnFormula>
    </tableColumn>
    <tableColumn id="7" xr3:uid="{B92D4047-3EE2-4381-BB68-4930D133A92F}" name="Ore di ferie usufruite" dataDxfId="9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1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F615E-B786-4F3B-9A64-331F64E0CCD4}">
  <dimension ref="A2:K41"/>
  <sheetViews>
    <sheetView topLeftCell="A28" workbookViewId="0"/>
  </sheetViews>
  <sheetFormatPr defaultRowHeight="14.4" x14ac:dyDescent="0.3"/>
  <cols>
    <col min="1" max="6" width="15.77734375" customWidth="1"/>
    <col min="7" max="7" width="15.77734375" bestFit="1" customWidth="1"/>
    <col min="9" max="9" width="13.5546875" bestFit="1" customWidth="1"/>
    <col min="10" max="10" width="14.33203125" bestFit="1" customWidth="1"/>
    <col min="11" max="15" width="15.77734375" customWidth="1"/>
    <col min="16" max="16" width="15.77734375" bestFit="1" customWidth="1"/>
  </cols>
  <sheetData>
    <row r="2" spans="1:11" x14ac:dyDescent="0.3">
      <c r="A2" t="s">
        <v>8</v>
      </c>
      <c r="B2" t="s">
        <v>1</v>
      </c>
      <c r="C2" t="s">
        <v>2</v>
      </c>
      <c r="D2" t="s">
        <v>3</v>
      </c>
      <c r="E2" t="s">
        <v>4</v>
      </c>
      <c r="F2" t="s">
        <v>39</v>
      </c>
      <c r="G2" t="s">
        <v>40</v>
      </c>
      <c r="H2" t="s">
        <v>41</v>
      </c>
      <c r="I2" t="s">
        <v>59</v>
      </c>
      <c r="J2" t="s">
        <v>60</v>
      </c>
      <c r="K2" t="s">
        <v>61</v>
      </c>
    </row>
    <row r="3" spans="1:11" x14ac:dyDescent="0.3">
      <c r="A3" t="s">
        <v>0</v>
      </c>
      <c r="B3" s="9">
        <f>28+4+4+40+32+8+4</f>
        <v>120</v>
      </c>
      <c r="C3" s="8">
        <f>3+4+16+4.5</f>
        <v>27.5</v>
      </c>
      <c r="D3" s="9">
        <f>5+5+6+7.5+6+6+7.5+6+7.5+6+6+7.5</f>
        <v>76</v>
      </c>
      <c r="E3" s="9">
        <f>8+24</f>
        <v>32</v>
      </c>
      <c r="F3" s="7"/>
      <c r="G3" s="7"/>
      <c r="H3" s="7">
        <f>SUM(Tabella1[[#This Row],[Ferie]:[Altre ass non r.]])</f>
        <v>255.5</v>
      </c>
      <c r="I3" s="7">
        <v>1147</v>
      </c>
      <c r="J3" s="7">
        <v>1252.5</v>
      </c>
      <c r="K3" s="7">
        <v>109.26</v>
      </c>
    </row>
    <row r="4" spans="1:11" x14ac:dyDescent="0.3">
      <c r="A4" t="s">
        <v>5</v>
      </c>
      <c r="B4" s="9">
        <f>20.5+47+66+37.5+36</f>
        <v>207</v>
      </c>
      <c r="C4" s="8">
        <f>6.5</f>
        <v>6.5</v>
      </c>
      <c r="D4" s="7">
        <f>3.5+6.5+3.25+2</f>
        <v>15.25</v>
      </c>
      <c r="E4" s="9"/>
      <c r="F4" s="7"/>
      <c r="G4" s="7"/>
      <c r="H4" s="7">
        <f>SUM(Tabella1[[#This Row],[Ferie]:[Altre ass non r.]])</f>
        <v>228.75</v>
      </c>
      <c r="I4" s="7">
        <v>1743.25</v>
      </c>
      <c r="J4" s="7">
        <v>1978.5</v>
      </c>
      <c r="K4" s="7">
        <v>176</v>
      </c>
    </row>
    <row r="5" spans="1:11" x14ac:dyDescent="0.3">
      <c r="A5" t="s">
        <v>6</v>
      </c>
      <c r="B5" s="8">
        <f>8+7.5+84.5+15.5+15</f>
        <v>130.5</v>
      </c>
      <c r="C5" s="7">
        <f>1.5+2+1.25+4</f>
        <v>8.75</v>
      </c>
      <c r="D5" s="7"/>
      <c r="E5" s="9"/>
      <c r="F5" s="7"/>
      <c r="G5" s="7"/>
      <c r="H5" s="7">
        <f>SUM(Tabella1[[#This Row],[Ferie]:[Altre ass non r.]])</f>
        <v>139.25</v>
      </c>
      <c r="I5" s="7">
        <v>1782.25</v>
      </c>
      <c r="J5" s="7">
        <v>1921.5</v>
      </c>
      <c r="K5" s="7">
        <v>167</v>
      </c>
    </row>
    <row r="6" spans="1:11" x14ac:dyDescent="0.3">
      <c r="A6" t="s">
        <v>7</v>
      </c>
      <c r="B6" s="9">
        <f>12+6+6+54+12+18+12</f>
        <v>120</v>
      </c>
      <c r="C6" s="7">
        <f>6+1+2+2+2.75+2+4</f>
        <v>19.75</v>
      </c>
      <c r="D6" s="7"/>
      <c r="E6" s="9">
        <f>12+12</f>
        <v>24</v>
      </c>
      <c r="F6" s="7"/>
      <c r="G6" s="7"/>
      <c r="H6" s="7">
        <f>SUM(Tabella1[[#This Row],[Ferie]:[Altre ass non r.]])</f>
        <v>163.75</v>
      </c>
      <c r="I6" s="7">
        <v>1330.25</v>
      </c>
      <c r="J6" s="7">
        <v>1494</v>
      </c>
      <c r="K6" s="7">
        <v>130.12</v>
      </c>
    </row>
    <row r="7" spans="1:11" x14ac:dyDescent="0.3">
      <c r="A7" t="s">
        <v>9</v>
      </c>
      <c r="B7" s="9">
        <f>33+12+11+5</f>
        <v>61</v>
      </c>
      <c r="C7" s="9">
        <f>8</f>
        <v>8</v>
      </c>
      <c r="D7" s="7">
        <f>3.75+5+6.25+5+5+5+3+3+4.75+3+3+3</f>
        <v>49.75</v>
      </c>
      <c r="E7" s="9"/>
      <c r="F7" s="7"/>
      <c r="G7" s="7"/>
      <c r="H7" s="7">
        <f>SUM(Tabella1[[#This Row],[Ferie]:[Altre ass non r.]])</f>
        <v>118.75</v>
      </c>
      <c r="I7" s="7">
        <v>1038</v>
      </c>
      <c r="J7" s="7">
        <v>1143.75</v>
      </c>
      <c r="K7" s="7">
        <v>100.28</v>
      </c>
    </row>
    <row r="8" spans="1:11" x14ac:dyDescent="0.3">
      <c r="A8" t="s">
        <v>10</v>
      </c>
      <c r="B8" s="9">
        <f>26+3.5+52+28+2+4.5</f>
        <v>116</v>
      </c>
      <c r="C8" s="9">
        <f>8.5+8+0.5</f>
        <v>17</v>
      </c>
      <c r="D8" s="9">
        <f>6+6+7.5+6+6+6+6+6+7.5+6+6+6</f>
        <v>75</v>
      </c>
      <c r="E8" s="9">
        <f>8</f>
        <v>8</v>
      </c>
      <c r="F8" s="7"/>
      <c r="G8" s="7"/>
      <c r="H8" s="7">
        <f>SUM(Tabella1[[#This Row],[Ferie]:[Altre ass non r.]])</f>
        <v>216</v>
      </c>
      <c r="I8" s="7">
        <v>1437.75</v>
      </c>
      <c r="J8" s="7">
        <v>1454</v>
      </c>
      <c r="K8" s="7">
        <v>127.46</v>
      </c>
    </row>
    <row r="9" spans="1:11" x14ac:dyDescent="0.3">
      <c r="A9" t="s">
        <v>11</v>
      </c>
      <c r="B9" s="9">
        <f>6+80+40+39</f>
        <v>165</v>
      </c>
      <c r="C9" s="8">
        <f>28.5+1</f>
        <v>29.5</v>
      </c>
      <c r="D9" s="9">
        <f>39.5+6+5.5</f>
        <v>51</v>
      </c>
      <c r="E9" s="9"/>
      <c r="F9" s="7"/>
      <c r="G9" s="7"/>
      <c r="H9" s="7">
        <f>SUM(Tabella1[[#This Row],[Ferie]:[Altre ass non r.]])</f>
        <v>245.5</v>
      </c>
      <c r="I9" s="7">
        <v>1648.5</v>
      </c>
      <c r="J9" s="7">
        <v>1894</v>
      </c>
      <c r="K9" s="7">
        <v>176</v>
      </c>
    </row>
    <row r="10" spans="1:11" x14ac:dyDescent="0.3">
      <c r="A10" t="s">
        <v>12</v>
      </c>
      <c r="B10" s="9">
        <f>18+14+61+52+9+26</f>
        <v>180</v>
      </c>
      <c r="C10" s="8">
        <f>6+8.5+4+1</f>
        <v>19.5</v>
      </c>
      <c r="D10" s="9">
        <f>2+14</f>
        <v>16</v>
      </c>
      <c r="E10" s="9"/>
      <c r="F10" s="7"/>
      <c r="G10" s="7"/>
      <c r="H10" s="7">
        <f>SUM(Tabella1[[#This Row],[Ferie]:[Altre ass non r.]])</f>
        <v>215.5</v>
      </c>
      <c r="I10" s="7">
        <v>1737.5</v>
      </c>
      <c r="J10" s="7">
        <v>1952.5</v>
      </c>
      <c r="K10" s="7">
        <v>176</v>
      </c>
    </row>
    <row r="11" spans="1:11" x14ac:dyDescent="0.3">
      <c r="A11" t="s">
        <v>13</v>
      </c>
      <c r="B11" s="9">
        <f>32+8+16+4+34+76+6+8</f>
        <v>184</v>
      </c>
      <c r="C11" s="9">
        <f>4+7</f>
        <v>11</v>
      </c>
      <c r="D11" s="9">
        <f>8+8+8+10+8+8+10+8+10+8+8+10</f>
        <v>104</v>
      </c>
      <c r="E11" s="9">
        <f>16+16</f>
        <v>32</v>
      </c>
      <c r="F11" s="7"/>
      <c r="G11" s="7"/>
      <c r="H11" s="7">
        <f>SUM(Tabella1[[#This Row],[Ferie]:[Altre ass non r.]])</f>
        <v>331</v>
      </c>
      <c r="I11" s="7">
        <v>1671</v>
      </c>
      <c r="J11" s="7">
        <v>1991</v>
      </c>
      <c r="K11" s="7">
        <v>173</v>
      </c>
    </row>
    <row r="12" spans="1:11" x14ac:dyDescent="0.3">
      <c r="A12" t="s">
        <v>14</v>
      </c>
      <c r="B12" s="8">
        <f>46.5+30.5+38.5+7.5+38.5</f>
        <v>161.5</v>
      </c>
      <c r="C12" s="8">
        <f>3.5+0.5+3.5+3.5+4.5+3.5+3.5+4</f>
        <v>26.5</v>
      </c>
      <c r="D12" s="7"/>
      <c r="E12" s="9"/>
      <c r="F12" s="9">
        <f>8</f>
        <v>8</v>
      </c>
      <c r="G12" s="7"/>
      <c r="H12" s="7">
        <f>SUM(Tabella1[[#This Row],[Ferie]:[Altre ass non r.]])</f>
        <v>196</v>
      </c>
      <c r="I12" s="7">
        <v>1712.5</v>
      </c>
      <c r="J12" s="7">
        <v>1908.5</v>
      </c>
      <c r="K12" s="7">
        <v>167</v>
      </c>
    </row>
    <row r="13" spans="1:11" x14ac:dyDescent="0.3">
      <c r="A13" t="s">
        <v>15</v>
      </c>
      <c r="B13" s="9">
        <f>9+6+100+28+19</f>
        <v>162</v>
      </c>
      <c r="C13" s="9">
        <f>7+4</f>
        <v>11</v>
      </c>
      <c r="D13" s="9">
        <f>1+5+4.5+5.5+1</f>
        <v>17</v>
      </c>
      <c r="E13" s="9"/>
      <c r="F13" s="9"/>
      <c r="G13" s="7"/>
      <c r="H13" s="7">
        <f>SUM(Tabella1[[#This Row],[Ferie]:[Altre ass non r.]])</f>
        <v>190</v>
      </c>
      <c r="I13" s="7">
        <v>1667</v>
      </c>
      <c r="J13" s="7">
        <v>1854.5</v>
      </c>
      <c r="K13" s="7">
        <v>160</v>
      </c>
    </row>
    <row r="14" spans="1:11" x14ac:dyDescent="0.3">
      <c r="A14" t="s">
        <v>16</v>
      </c>
      <c r="B14" s="9">
        <f>8+40+6+74+18+30</f>
        <v>176</v>
      </c>
      <c r="C14" s="8">
        <f>11+2+3+0.5</f>
        <v>16.5</v>
      </c>
      <c r="D14" s="9">
        <f>6+4+5+5+3.5+1+6+8+9.5+11+11+4</f>
        <v>74</v>
      </c>
      <c r="E14" s="9"/>
      <c r="F14" s="9"/>
      <c r="G14" s="7"/>
      <c r="H14" s="7">
        <f>SUM(Tabella1[[#This Row],[Ferie]:[Altre ass non r.]])</f>
        <v>266.5</v>
      </c>
      <c r="I14" s="7">
        <v>1763</v>
      </c>
      <c r="J14" s="7">
        <v>2019.5</v>
      </c>
      <c r="K14" s="7">
        <v>176</v>
      </c>
    </row>
    <row r="15" spans="1:11" x14ac:dyDescent="0.3">
      <c r="A15" t="s">
        <v>17</v>
      </c>
      <c r="B15" s="8">
        <f>31+59.5+20+3+4.5+23.5</f>
        <v>141.5</v>
      </c>
      <c r="C15" s="9">
        <f>2.5+0.5+16.5+18+15+3+2+0.5+3</f>
        <v>61</v>
      </c>
      <c r="D15" s="7"/>
      <c r="E15" s="9"/>
      <c r="F15" s="7"/>
      <c r="G15" s="7"/>
      <c r="H15" s="7">
        <f>SUM(Tabella1[[#This Row],[Ferie]:[Altre ass non r.]])</f>
        <v>202.5</v>
      </c>
      <c r="I15" s="7">
        <v>1729</v>
      </c>
      <c r="J15" s="7">
        <v>1930.5</v>
      </c>
      <c r="K15" s="7">
        <v>167</v>
      </c>
    </row>
    <row r="16" spans="1:11" x14ac:dyDescent="0.3">
      <c r="A16" t="s">
        <v>18</v>
      </c>
      <c r="B16" s="8">
        <f>20.5+8+4+38.5+38.5+31+7.5+7.5</f>
        <v>155.5</v>
      </c>
      <c r="C16" s="9">
        <f>13+4+1+4+5.25+6.5+5.25</f>
        <v>39</v>
      </c>
      <c r="D16" s="7"/>
      <c r="E16" s="9">
        <f>19</f>
        <v>19</v>
      </c>
      <c r="F16" s="7"/>
      <c r="G16" s="7"/>
      <c r="H16" s="7">
        <f>SUM(Tabella1[[#This Row],[Ferie]:[Altre ass non r.]])</f>
        <v>213.5</v>
      </c>
      <c r="I16" s="7">
        <v>1703.5</v>
      </c>
      <c r="J16" s="7">
        <v>1917</v>
      </c>
      <c r="K16" s="7">
        <v>167</v>
      </c>
    </row>
    <row r="17" spans="1:11" x14ac:dyDescent="0.3">
      <c r="A17" t="s">
        <v>20</v>
      </c>
      <c r="B17" s="9">
        <f>4+73+40+5</f>
        <v>122</v>
      </c>
      <c r="C17" s="9">
        <f>2.5+14+1.5+1+7+1</f>
        <v>27</v>
      </c>
      <c r="D17" s="8">
        <f>11.5+3</f>
        <v>14.5</v>
      </c>
      <c r="E17" s="8">
        <f>23.5</f>
        <v>23.5</v>
      </c>
      <c r="F17" s="7"/>
      <c r="G17" s="8">
        <f>6.5</f>
        <v>6.5</v>
      </c>
      <c r="H17" s="7">
        <f>SUM(Tabella1[[#This Row],[Ferie]:[Altre ass non r.]])</f>
        <v>193.5</v>
      </c>
      <c r="I17" s="7">
        <v>1743</v>
      </c>
      <c r="J17" s="7">
        <v>1936.5</v>
      </c>
      <c r="K17" s="7">
        <v>176</v>
      </c>
    </row>
    <row r="18" spans="1:11" x14ac:dyDescent="0.3">
      <c r="A18" t="s">
        <v>21</v>
      </c>
      <c r="B18" s="9">
        <f>65+24</f>
        <v>89</v>
      </c>
      <c r="C18" s="8">
        <f>17.5+2+9.5+1.5+1</f>
        <v>31.5</v>
      </c>
      <c r="D18" s="8">
        <f>32.5+22.5+4.5+22</f>
        <v>81.5</v>
      </c>
      <c r="E18" s="9"/>
      <c r="F18" s="7"/>
      <c r="G18" s="7"/>
      <c r="H18" s="7">
        <f>SUM(Tabella1[[#This Row],[Ferie]:[Altre ass non r.]])</f>
        <v>202</v>
      </c>
      <c r="I18" s="7">
        <v>1879.5</v>
      </c>
      <c r="J18" s="7">
        <v>1994</v>
      </c>
      <c r="K18" s="7">
        <v>176</v>
      </c>
    </row>
    <row r="19" spans="1:11" x14ac:dyDescent="0.3">
      <c r="A19" t="s">
        <v>22</v>
      </c>
      <c r="B19" s="9">
        <f>11+7.5+82.5+32</f>
        <v>133</v>
      </c>
      <c r="C19" s="9">
        <f>9+14</f>
        <v>23</v>
      </c>
      <c r="D19" s="9">
        <f>4+10+15</f>
        <v>29</v>
      </c>
      <c r="E19" s="9">
        <f>25</f>
        <v>25</v>
      </c>
      <c r="F19" s="7"/>
      <c r="G19" s="7"/>
      <c r="H19" s="7">
        <f>SUM(Tabella1[[#This Row],[Ferie]:[Altre ass non r.]])</f>
        <v>210</v>
      </c>
      <c r="I19" s="7">
        <v>1734</v>
      </c>
      <c r="J19" s="7">
        <v>1943.5</v>
      </c>
      <c r="K19" s="7">
        <v>176</v>
      </c>
    </row>
    <row r="20" spans="1:11" x14ac:dyDescent="0.3">
      <c r="A20" t="s">
        <v>23</v>
      </c>
      <c r="B20" s="9">
        <f>21.5+80+7+17+24+42.5</f>
        <v>192</v>
      </c>
      <c r="C20" s="9">
        <f>10</f>
        <v>10</v>
      </c>
      <c r="D20" s="9">
        <f>2+6.5+0.5+9.5+6+1.5</f>
        <v>26</v>
      </c>
      <c r="E20" s="9">
        <f>12</f>
        <v>12</v>
      </c>
      <c r="F20" s="7"/>
      <c r="G20" s="7"/>
      <c r="H20" s="7">
        <f>SUM(Tabella1[[#This Row],[Ferie]:[Altre ass non r.]])</f>
        <v>240</v>
      </c>
      <c r="I20" s="7">
        <v>1715.5</v>
      </c>
      <c r="J20" s="7">
        <v>1957</v>
      </c>
      <c r="K20" s="7">
        <v>176</v>
      </c>
    </row>
    <row r="21" spans="1:11" x14ac:dyDescent="0.3">
      <c r="A21" t="s">
        <v>24</v>
      </c>
      <c r="B21" s="8">
        <f>14.5+46+74+34+9+30</f>
        <v>207.5</v>
      </c>
      <c r="C21" s="8">
        <f>8+5+4.5</f>
        <v>17.5</v>
      </c>
      <c r="D21" s="9">
        <f>2.5+6.5+6.5+9.5+8+2.5+5+4.5+5+6.5+6.5</f>
        <v>63</v>
      </c>
      <c r="E21" s="9"/>
      <c r="F21" s="7"/>
      <c r="G21" s="7"/>
      <c r="H21" s="7">
        <f>SUM(Tabella1[[#This Row],[Ferie]:[Altre ass non r.]])</f>
        <v>288</v>
      </c>
      <c r="I21" s="7">
        <v>1739</v>
      </c>
      <c r="J21" s="7">
        <v>2016.5</v>
      </c>
      <c r="K21" s="7">
        <v>176</v>
      </c>
    </row>
    <row r="22" spans="1:11" x14ac:dyDescent="0.3">
      <c r="A22" t="s">
        <v>25</v>
      </c>
      <c r="B22" s="9">
        <f>6+82+11+40+31+26</f>
        <v>196</v>
      </c>
      <c r="C22" s="8">
        <f>4+12.5+1+5</f>
        <v>22.5</v>
      </c>
      <c r="D22" s="8">
        <f>3+7+9+1.5+4+7.5+7.5+9+9+8+3</f>
        <v>68.5</v>
      </c>
      <c r="E22" s="9">
        <f>20</f>
        <v>20</v>
      </c>
      <c r="F22" s="7"/>
      <c r="G22" s="7"/>
      <c r="H22" s="7">
        <f>SUM(Tabella1[[#This Row],[Ferie]:[Altre ass non r.]])</f>
        <v>307</v>
      </c>
      <c r="I22" s="7">
        <v>1708</v>
      </c>
      <c r="J22" s="7">
        <v>2013.5</v>
      </c>
      <c r="K22" s="7">
        <v>176</v>
      </c>
    </row>
    <row r="23" spans="1:11" x14ac:dyDescent="0.3">
      <c r="A23" t="s">
        <v>26</v>
      </c>
      <c r="B23" s="9">
        <f>9+13.5+6.5+73+42+7+8</f>
        <v>159</v>
      </c>
      <c r="C23" s="8">
        <f>4.5+2+3</f>
        <v>9.5</v>
      </c>
      <c r="D23" s="9">
        <f>8+9+6+6.5+9+6+5+7+0.5</f>
        <v>57</v>
      </c>
      <c r="E23" s="9">
        <f>34</f>
        <v>34</v>
      </c>
      <c r="F23" s="7"/>
      <c r="G23" s="7"/>
      <c r="H23" s="7">
        <f>SUM(Tabella1[[#This Row],[Ferie]:[Altre ass non r.]])</f>
        <v>259.5</v>
      </c>
      <c r="I23" s="7">
        <v>1388.5</v>
      </c>
      <c r="J23" s="7">
        <v>1737.5</v>
      </c>
      <c r="K23" s="7">
        <v>152.53</v>
      </c>
    </row>
    <row r="24" spans="1:11" x14ac:dyDescent="0.3">
      <c r="A24" t="s">
        <v>27</v>
      </c>
      <c r="B24" s="9">
        <f>19+7+107+48+13+16</f>
        <v>210</v>
      </c>
      <c r="C24" s="9">
        <f>1.5+14+15+1.5+7</f>
        <v>39</v>
      </c>
      <c r="D24" s="9">
        <f>2+9+3+8+2+10.5+5+3.5+13.5+8.5+8+7</f>
        <v>80</v>
      </c>
      <c r="E24" s="9"/>
      <c r="F24" s="7"/>
      <c r="G24" s="9">
        <f>1</f>
        <v>1</v>
      </c>
      <c r="H24" s="7">
        <f>SUM(Tabella1[[#This Row],[Ferie]:[Altre ass non r.]])</f>
        <v>330</v>
      </c>
      <c r="I24" s="7">
        <v>1593.5</v>
      </c>
      <c r="J24" s="7">
        <v>2012.5</v>
      </c>
      <c r="K24" s="7">
        <v>176</v>
      </c>
    </row>
    <row r="25" spans="1:11" x14ac:dyDescent="0.3">
      <c r="A25" t="s">
        <v>28</v>
      </c>
      <c r="B25" s="9">
        <f>26+80+27</f>
        <v>133</v>
      </c>
      <c r="C25" s="9">
        <f>6+16.5+1.5</f>
        <v>24</v>
      </c>
      <c r="D25" s="8">
        <f>16+1+8+4+6+2+3.5</f>
        <v>40.5</v>
      </c>
      <c r="E25" s="9">
        <f>80</f>
        <v>80</v>
      </c>
      <c r="F25" s="8">
        <f>10.5</f>
        <v>10.5</v>
      </c>
      <c r="G25" s="9">
        <f>19</f>
        <v>19</v>
      </c>
      <c r="H25" s="7">
        <f>SUM(Tabella1[[#This Row],[Ferie]:[Altre ass non r.]])</f>
        <v>307</v>
      </c>
      <c r="I25" s="7">
        <v>1515.5</v>
      </c>
      <c r="J25" s="7">
        <v>1797</v>
      </c>
      <c r="K25" s="7">
        <v>157.19999999999999</v>
      </c>
    </row>
    <row r="26" spans="1:11" x14ac:dyDescent="0.3">
      <c r="A26" t="s">
        <v>30</v>
      </c>
      <c r="B26" s="7"/>
      <c r="C26" s="7"/>
      <c r="D26" s="7"/>
      <c r="E26" s="9"/>
      <c r="F26" s="7"/>
      <c r="G26" s="9">
        <f>128</f>
        <v>128</v>
      </c>
      <c r="H26" s="7">
        <f>SUM(Tabella1[[#This Row],[Ferie]:[Altre ass non r.]])</f>
        <v>128</v>
      </c>
      <c r="I26" s="7">
        <v>0</v>
      </c>
      <c r="J26" s="7">
        <v>1986.5</v>
      </c>
      <c r="K26" s="7">
        <v>88</v>
      </c>
    </row>
    <row r="27" spans="1:11" x14ac:dyDescent="0.3">
      <c r="A27" t="s">
        <v>31</v>
      </c>
      <c r="B27" s="8">
        <f>41+12+118+26+43.5+48</f>
        <v>288.5</v>
      </c>
      <c r="C27" s="9">
        <f>7</f>
        <v>7</v>
      </c>
      <c r="D27" s="9">
        <f>7+11.5+2.5</f>
        <v>21</v>
      </c>
      <c r="E27" s="9">
        <f>7</f>
        <v>7</v>
      </c>
      <c r="F27" s="7"/>
      <c r="G27" s="7"/>
      <c r="H27" s="7">
        <f>SUM(Tabella1[[#This Row],[Ferie]:[Altre ass non r.]])</f>
        <v>323.5</v>
      </c>
      <c r="I27" s="7">
        <v>1623.5</v>
      </c>
      <c r="J27" s="7">
        <v>1946</v>
      </c>
      <c r="K27" s="7">
        <v>176</v>
      </c>
    </row>
    <row r="28" spans="1:11" x14ac:dyDescent="0.3">
      <c r="A28" t="s">
        <v>32</v>
      </c>
      <c r="B28" s="7">
        <f>30.5+8+77+34.25+8</f>
        <v>157.75</v>
      </c>
      <c r="C28" s="7">
        <f>4.5+3.5+5.5+5.25+4+0.5+0.5+2.5+1.25+1.25+4</f>
        <v>32.75</v>
      </c>
      <c r="D28" s="7"/>
      <c r="E28" s="9">
        <f>31</f>
        <v>31</v>
      </c>
      <c r="F28" s="7"/>
      <c r="G28" s="7"/>
      <c r="H28" s="7">
        <f>SUM(Tabella1[[#This Row],[Ferie]:[Altre ass non r.]])</f>
        <v>221.5</v>
      </c>
      <c r="I28" s="7">
        <v>1642.5</v>
      </c>
      <c r="J28" s="7">
        <v>1894</v>
      </c>
      <c r="K28" s="7">
        <v>167</v>
      </c>
    </row>
    <row r="29" spans="1:11" x14ac:dyDescent="0.3">
      <c r="A29" t="s">
        <v>41</v>
      </c>
      <c r="B29" s="7">
        <f>SUBTOTAL(109,B3:B28)</f>
        <v>3967.75</v>
      </c>
      <c r="C29" s="7">
        <f>SUBTOTAL(109,C3:C28)</f>
        <v>545.25</v>
      </c>
      <c r="D29" s="9">
        <f>SUM(D3:D28)</f>
        <v>959</v>
      </c>
      <c r="E29" s="8">
        <f>SUBTOTAL(109,E3:E28)</f>
        <v>347.5</v>
      </c>
      <c r="F29" s="8">
        <f>SUM(F3:F28)</f>
        <v>18.5</v>
      </c>
      <c r="G29" s="8">
        <f>SUM(G3:G28)</f>
        <v>154.5</v>
      </c>
      <c r="H29" s="7">
        <f>SUBTOTAL(109,H3:H28)</f>
        <v>5992.5</v>
      </c>
      <c r="I29" s="7">
        <f>SUBTOTAL(109,I3:I28)</f>
        <v>40393</v>
      </c>
      <c r="J29" s="7">
        <f>SUBTOTAL(109,J3:J28)</f>
        <v>47946.25</v>
      </c>
      <c r="K29" s="7">
        <f>SUBTOTAL(109,K3:K28)</f>
        <v>4144.8500000000004</v>
      </c>
    </row>
    <row r="32" spans="1:11" ht="15" thickBot="1" x14ac:dyDescent="0.35">
      <c r="A32" s="2" t="s">
        <v>8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39</v>
      </c>
      <c r="G32" s="2" t="s">
        <v>40</v>
      </c>
      <c r="H32" s="2" t="s">
        <v>41</v>
      </c>
      <c r="I32" s="2" t="s">
        <v>59</v>
      </c>
      <c r="J32" s="2" t="s">
        <v>60</v>
      </c>
      <c r="K32" s="2" t="s">
        <v>61</v>
      </c>
    </row>
    <row r="33" spans="1:11" x14ac:dyDescent="0.3">
      <c r="A33" s="3" t="s">
        <v>33</v>
      </c>
      <c r="B33" s="4"/>
      <c r="C33" s="4"/>
      <c r="D33" s="4"/>
      <c r="E33" s="5"/>
      <c r="F33" s="5"/>
      <c r="G33" s="5">
        <v>4.5</v>
      </c>
      <c r="H33" s="6">
        <f>SUM(Tabella2[[#This Row],[Ferie]:[Altre ass non r.]])</f>
        <v>4.5</v>
      </c>
      <c r="I33" s="6">
        <v>454</v>
      </c>
      <c r="J33" s="6">
        <v>454</v>
      </c>
      <c r="K33" s="6">
        <v>30</v>
      </c>
    </row>
    <row r="34" spans="1:11" x14ac:dyDescent="0.3">
      <c r="A34" s="3" t="s">
        <v>34</v>
      </c>
      <c r="B34" s="4"/>
      <c r="C34" s="4"/>
      <c r="D34" s="4"/>
      <c r="E34" s="5">
        <f>20</f>
        <v>20</v>
      </c>
      <c r="F34" s="5"/>
      <c r="G34" s="5"/>
      <c r="H34" s="6">
        <f>SUM(Tabella2[[#This Row],[Ferie]:[Altre ass non r.]])</f>
        <v>20</v>
      </c>
      <c r="I34" s="6">
        <v>428</v>
      </c>
      <c r="J34" s="6">
        <v>448</v>
      </c>
      <c r="K34" s="6">
        <v>28</v>
      </c>
    </row>
    <row r="35" spans="1:11" x14ac:dyDescent="0.3">
      <c r="A35" s="3" t="s">
        <v>35</v>
      </c>
      <c r="B35" s="4">
        <f>38+7+2.5+8</f>
        <v>55.5</v>
      </c>
      <c r="C35" s="4">
        <f>5+6+5.5+1</f>
        <v>17.5</v>
      </c>
      <c r="D35" s="4"/>
      <c r="E35" s="5">
        <f>6</f>
        <v>6</v>
      </c>
      <c r="F35" s="5"/>
      <c r="G35" s="5"/>
      <c r="H35" s="6">
        <f>SUM(Tabella2[[#This Row],[Ferie]:[Altre ass non r.]])</f>
        <v>79</v>
      </c>
      <c r="I35" s="6">
        <v>995</v>
      </c>
      <c r="J35" s="6">
        <v>1074</v>
      </c>
      <c r="K35" s="6">
        <v>83.82</v>
      </c>
    </row>
    <row r="36" spans="1:11" x14ac:dyDescent="0.3">
      <c r="A36" t="s">
        <v>19</v>
      </c>
      <c r="B36" s="1"/>
      <c r="C36" s="1"/>
      <c r="D36" s="1"/>
      <c r="E36" s="1"/>
      <c r="F36" s="1"/>
      <c r="G36" s="1"/>
      <c r="H36" s="6">
        <f>SUM(Tabella2[[#This Row],[Ferie]:[Altre ass non r.]])</f>
        <v>0</v>
      </c>
      <c r="I36" s="6">
        <v>200.5</v>
      </c>
      <c r="J36" s="6">
        <v>175</v>
      </c>
      <c r="K36" s="6">
        <v>13.33</v>
      </c>
    </row>
    <row r="37" spans="1:11" x14ac:dyDescent="0.3">
      <c r="A37" t="s">
        <v>38</v>
      </c>
      <c r="B37" s="6"/>
      <c r="C37" s="6"/>
      <c r="D37" s="6"/>
      <c r="E37" s="1">
        <f>5</f>
        <v>5</v>
      </c>
      <c r="F37" s="1"/>
      <c r="G37" s="1"/>
      <c r="H37" s="6">
        <f>SUM(Tabella2[[#This Row],[Ferie]:[Altre ass non r.]])</f>
        <v>5</v>
      </c>
      <c r="I37" s="6">
        <v>401.5</v>
      </c>
      <c r="J37" s="6">
        <v>406.5</v>
      </c>
      <c r="K37" s="6">
        <v>18.670000000000002</v>
      </c>
    </row>
    <row r="38" spans="1:11" x14ac:dyDescent="0.3">
      <c r="A38" t="s">
        <v>36</v>
      </c>
      <c r="B38" s="6">
        <f>8.5</f>
        <v>8.5</v>
      </c>
      <c r="C38" s="6">
        <f>2.5+7.5</f>
        <v>10</v>
      </c>
      <c r="D38" s="6"/>
      <c r="E38" s="1"/>
      <c r="F38" s="1"/>
      <c r="G38" s="1"/>
      <c r="H38" s="6">
        <f>SUM(Tabella2[[#This Row],[Ferie]:[Altre ass non r.]])</f>
        <v>18.5</v>
      </c>
      <c r="I38" s="6">
        <v>706</v>
      </c>
      <c r="J38" s="6">
        <v>724.5</v>
      </c>
      <c r="K38" s="6">
        <v>53.33</v>
      </c>
    </row>
    <row r="39" spans="1:11" x14ac:dyDescent="0.3">
      <c r="A39" t="s">
        <v>29</v>
      </c>
      <c r="B39" s="1">
        <f t="shared" ref="B39" si="0">12+6</f>
        <v>18</v>
      </c>
      <c r="C39" s="1">
        <f t="shared" ref="C39" si="1">6.5+31</f>
        <v>37.5</v>
      </c>
      <c r="D39" s="1">
        <f t="shared" ref="D39" si="2">17+8+13+6+14</f>
        <v>58</v>
      </c>
      <c r="E39" s="1"/>
      <c r="F39" s="1"/>
      <c r="G39" s="1"/>
      <c r="H39" s="6">
        <f>SUM(Tabella2[[#This Row],[Ferie]:[Altre ass non r.]])</f>
        <v>113.5</v>
      </c>
      <c r="I39" s="6">
        <v>903.5</v>
      </c>
      <c r="J39" s="6">
        <v>1017.5</v>
      </c>
      <c r="K39" s="6">
        <v>88</v>
      </c>
    </row>
    <row r="40" spans="1:11" x14ac:dyDescent="0.3">
      <c r="A40" t="s">
        <v>37</v>
      </c>
      <c r="B40" s="6">
        <f>11.5+14.5</f>
        <v>26</v>
      </c>
      <c r="C40" s="6">
        <f>7.5</f>
        <v>7.5</v>
      </c>
      <c r="D40" s="6"/>
      <c r="E40" s="1"/>
      <c r="F40" s="1"/>
      <c r="G40" s="1"/>
      <c r="H40" s="6">
        <f>SUM(Tabella2[[#This Row],[Ferie]:[Altre ass non r.]])</f>
        <v>33.5</v>
      </c>
      <c r="I40" s="6">
        <v>579.5</v>
      </c>
      <c r="J40" s="6">
        <v>613</v>
      </c>
      <c r="K40" s="6">
        <v>40</v>
      </c>
    </row>
    <row r="41" spans="1:11" x14ac:dyDescent="0.3">
      <c r="A41" t="s">
        <v>41</v>
      </c>
      <c r="B41" s="6">
        <f>SUBTOTAL(109,B33:B40)</f>
        <v>108</v>
      </c>
      <c r="C41" s="6">
        <f t="shared" ref="C41:G41" si="3">SUBTOTAL(109,C33:C40)</f>
        <v>72.5</v>
      </c>
      <c r="D41" s="6">
        <f t="shared" si="3"/>
        <v>58</v>
      </c>
      <c r="E41" s="6">
        <f t="shared" si="3"/>
        <v>31</v>
      </c>
      <c r="F41" s="6">
        <f t="shared" si="3"/>
        <v>0</v>
      </c>
      <c r="G41" s="6">
        <f t="shared" si="3"/>
        <v>4.5</v>
      </c>
      <c r="H41" s="6">
        <f>SUM(H33:H40)</f>
        <v>274</v>
      </c>
      <c r="I41" s="6">
        <f t="shared" ref="I41:K41" si="4">SUM(I33:I40)</f>
        <v>4668</v>
      </c>
      <c r="J41" s="6">
        <f t="shared" si="4"/>
        <v>4912.5</v>
      </c>
      <c r="K41" s="6">
        <f t="shared" si="4"/>
        <v>355.15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4AAF0-CF09-41EE-B008-8DFBA6B416B7}">
  <dimension ref="A2:K37"/>
  <sheetViews>
    <sheetView workbookViewId="0">
      <selection activeCell="E16" sqref="E16"/>
    </sheetView>
  </sheetViews>
  <sheetFormatPr defaultRowHeight="14.4" x14ac:dyDescent="0.3"/>
  <cols>
    <col min="1" max="7" width="15.77734375" customWidth="1"/>
    <col min="9" max="9" width="13.5546875" bestFit="1" customWidth="1"/>
    <col min="10" max="10" width="14.33203125" bestFit="1" customWidth="1"/>
    <col min="11" max="11" width="15.5546875" bestFit="1" customWidth="1"/>
  </cols>
  <sheetData>
    <row r="2" spans="1:11" ht="15" thickBot="1" x14ac:dyDescent="0.35">
      <c r="A2" s="2" t="s">
        <v>8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39</v>
      </c>
      <c r="G2" s="2" t="s">
        <v>40</v>
      </c>
      <c r="H2" s="2" t="s">
        <v>41</v>
      </c>
      <c r="I2" s="2" t="s">
        <v>59</v>
      </c>
      <c r="J2" s="2" t="s">
        <v>60</v>
      </c>
      <c r="K2" s="2" t="s">
        <v>61</v>
      </c>
    </row>
    <row r="3" spans="1:11" x14ac:dyDescent="0.3">
      <c r="A3" t="s">
        <v>0</v>
      </c>
      <c r="B3" s="1">
        <f>20+8+4+8+24+36+20+4</f>
        <v>124</v>
      </c>
      <c r="C3" s="1"/>
      <c r="D3" s="1">
        <f>6.25+5+5+6.25+5+5+6.25+5+5+6.25+5+6.25</f>
        <v>66.25</v>
      </c>
      <c r="E3" s="1">
        <f>20+12</f>
        <v>32</v>
      </c>
      <c r="F3" s="1"/>
      <c r="G3" s="1"/>
      <c r="H3" s="1">
        <f>SUM(Tabella3[[#This Row],[Ferie]:[Altre ass non r.]])</f>
        <v>222.25</v>
      </c>
      <c r="I3" s="6">
        <v>1182</v>
      </c>
      <c r="J3" s="6">
        <v>1282.25</v>
      </c>
      <c r="K3" s="6">
        <v>109.26</v>
      </c>
    </row>
    <row r="4" spans="1:11" x14ac:dyDescent="0.3">
      <c r="A4" t="s">
        <v>5</v>
      </c>
      <c r="B4" s="1">
        <f>18+11+64+11.5</f>
        <v>104.5</v>
      </c>
      <c r="C4" s="6">
        <f>6+11</f>
        <v>17</v>
      </c>
      <c r="D4" s="1">
        <f>8+2+5.5+2+20</f>
        <v>37.5</v>
      </c>
      <c r="E4" s="6"/>
      <c r="F4" s="1"/>
      <c r="G4" s="1">
        <f>1</f>
        <v>1</v>
      </c>
      <c r="H4" s="1">
        <f>SUM(Tabella3[[#This Row],[Ferie]:[Altre ass non r.]])</f>
        <v>160</v>
      </c>
      <c r="I4" s="6">
        <v>1598.5</v>
      </c>
      <c r="J4" s="6">
        <v>1757.5</v>
      </c>
      <c r="K4" s="6">
        <v>162.38999999999999</v>
      </c>
    </row>
    <row r="5" spans="1:11" x14ac:dyDescent="0.3">
      <c r="A5" t="s">
        <v>6</v>
      </c>
      <c r="B5" s="1">
        <f>35+70+7.5</f>
        <v>112.5</v>
      </c>
      <c r="C5" s="1">
        <f>7+0.5+4+4+4+4+9.75+7</f>
        <v>40.25</v>
      </c>
      <c r="D5" s="1"/>
      <c r="E5" s="1"/>
      <c r="F5" s="1"/>
      <c r="G5" s="1"/>
      <c r="H5" s="1">
        <f>SUM(Tabella3[[#This Row],[Ferie]:[Altre ass non r.]])</f>
        <v>152.75</v>
      </c>
      <c r="I5" s="6">
        <v>1607.75</v>
      </c>
      <c r="J5" s="6">
        <v>1760.5</v>
      </c>
      <c r="K5" s="6">
        <v>151.81</v>
      </c>
    </row>
    <row r="6" spans="1:11" x14ac:dyDescent="0.3">
      <c r="A6" t="s">
        <v>7</v>
      </c>
      <c r="B6" s="1">
        <f>7+42+14+6+12+12+60+6+24+12+12</f>
        <v>207</v>
      </c>
      <c r="C6" s="6">
        <f>1+15+2.5+1.5+3.5+4</f>
        <v>27.5</v>
      </c>
      <c r="D6" s="1"/>
      <c r="E6" s="1">
        <f>7+6</f>
        <v>13</v>
      </c>
      <c r="F6" s="1"/>
      <c r="G6" s="1"/>
      <c r="H6" s="1">
        <f>SUM(Tabella3[[#This Row],[Ferie]:[Altre ass non r.]])</f>
        <v>247.5</v>
      </c>
      <c r="I6" s="6">
        <v>1246.5</v>
      </c>
      <c r="J6" s="6">
        <v>1568</v>
      </c>
      <c r="K6" s="6">
        <v>135.54</v>
      </c>
    </row>
    <row r="7" spans="1:11" x14ac:dyDescent="0.3">
      <c r="A7" t="s">
        <v>9</v>
      </c>
      <c r="B7" s="1">
        <f>6+3+3+15+27+5</f>
        <v>59</v>
      </c>
      <c r="C7" s="1">
        <f>1+8+2.5</f>
        <v>11.5</v>
      </c>
      <c r="D7" s="1">
        <f>3.75+3+3+3.75+3+3+3.75+3+3.75+3+5+6.25</f>
        <v>44.25</v>
      </c>
      <c r="E7" s="1">
        <f>6</f>
        <v>6</v>
      </c>
      <c r="F7" s="1"/>
      <c r="G7" s="1"/>
      <c r="H7" s="1">
        <f>SUM(Tabella3[[#This Row],[Ferie]:[Altre ass non r.]])</f>
        <v>120.75</v>
      </c>
      <c r="I7" s="6">
        <v>759</v>
      </c>
      <c r="J7" s="6">
        <v>868.25</v>
      </c>
      <c r="K7" s="6">
        <v>76</v>
      </c>
    </row>
    <row r="8" spans="1:11" x14ac:dyDescent="0.3">
      <c r="A8" t="s">
        <v>10</v>
      </c>
      <c r="B8" s="1">
        <f>12+4+24+56+4+3.75</f>
        <v>103.75</v>
      </c>
      <c r="C8" s="1">
        <f>4+0.5</f>
        <v>4.5</v>
      </c>
      <c r="D8" s="1">
        <f>7.5+6+6+7.5+6+6+7.5+6+7.5+6+6+7.5</f>
        <v>79.5</v>
      </c>
      <c r="E8" s="1"/>
      <c r="F8" s="1"/>
      <c r="G8" s="1"/>
      <c r="H8" s="1">
        <f>SUM(Tabella3[[#This Row],[Ferie]:[Altre ass non r.]])</f>
        <v>187.75</v>
      </c>
      <c r="I8" s="6">
        <v>1485.75</v>
      </c>
      <c r="J8" s="6">
        <v>1471</v>
      </c>
      <c r="K8" s="6">
        <v>127.46</v>
      </c>
    </row>
    <row r="9" spans="1:11" x14ac:dyDescent="0.3">
      <c r="A9" t="s">
        <v>11</v>
      </c>
      <c r="B9" s="1">
        <f>35</f>
        <v>35</v>
      </c>
      <c r="C9" s="6">
        <f>1.5+5.5+20.5+5+3</f>
        <v>35.5</v>
      </c>
      <c r="D9" s="1">
        <f>54+21</f>
        <v>75</v>
      </c>
      <c r="E9" s="6"/>
      <c r="F9" s="1"/>
      <c r="G9" s="1"/>
      <c r="H9" s="1">
        <f>SUM(Tabella3[[#This Row],[Ferie]:[Altre ass non r.]])</f>
        <v>145.5</v>
      </c>
      <c r="I9" s="6">
        <v>1793.75</v>
      </c>
      <c r="J9" s="6">
        <v>1904.25</v>
      </c>
      <c r="K9" s="6">
        <v>176</v>
      </c>
    </row>
    <row r="10" spans="1:11" x14ac:dyDescent="0.3">
      <c r="A10" t="s">
        <v>12</v>
      </c>
      <c r="B10" s="1">
        <f>10+77</f>
        <v>87</v>
      </c>
      <c r="C10" s="6">
        <f>11+0.5</f>
        <v>11.5</v>
      </c>
      <c r="D10" s="1">
        <f>15+0.5+3+2+2+26</f>
        <v>48.5</v>
      </c>
      <c r="E10" s="6"/>
      <c r="F10" s="1"/>
      <c r="G10" s="1"/>
      <c r="H10" s="1">
        <f>SUM(Tabella3[[#This Row],[Ferie]:[Altre ass non r.]])</f>
        <v>147</v>
      </c>
      <c r="I10" s="6">
        <v>1670</v>
      </c>
      <c r="J10" s="6">
        <v>1822.5</v>
      </c>
      <c r="K10" s="6">
        <v>166.93</v>
      </c>
    </row>
    <row r="11" spans="1:11" x14ac:dyDescent="0.3">
      <c r="A11" t="s">
        <v>13</v>
      </c>
      <c r="B11" s="1">
        <f>20+18+4+4+24+48+38+2+14+8+14</f>
        <v>194</v>
      </c>
      <c r="C11" s="1">
        <f>3.5+6+4</f>
        <v>13.5</v>
      </c>
      <c r="D11" s="1">
        <f>10+8+10+10+8+8+10+8+8+10+8+8</f>
        <v>106</v>
      </c>
      <c r="E11" s="1"/>
      <c r="F11" s="1"/>
      <c r="G11" s="1"/>
      <c r="H11" s="1">
        <f>SUM(Tabella3[[#This Row],[Ferie]:[Altre ass non r.]])</f>
        <v>313.5</v>
      </c>
      <c r="I11" s="6">
        <v>1708.5</v>
      </c>
      <c r="J11" s="6">
        <v>2008.5</v>
      </c>
      <c r="K11" s="6">
        <v>173</v>
      </c>
    </row>
    <row r="12" spans="1:11" x14ac:dyDescent="0.3">
      <c r="A12" t="s">
        <v>14</v>
      </c>
      <c r="B12" s="1">
        <f>19.5+15.5+11.5+7.5+64+43+3</f>
        <v>164</v>
      </c>
      <c r="C12" s="6">
        <f>4+0.75+12+28</f>
        <v>44.75</v>
      </c>
      <c r="D12" s="1"/>
      <c r="E12" s="1"/>
      <c r="F12" s="1">
        <f>7.5</f>
        <v>7.5</v>
      </c>
      <c r="G12" s="1"/>
      <c r="H12" s="1">
        <f>SUM(Tabella3[[#This Row],[Ferie]:[Altre ass non r.]])</f>
        <v>216.25</v>
      </c>
      <c r="I12" s="6">
        <v>1556.25</v>
      </c>
      <c r="J12" s="6">
        <v>1766.5</v>
      </c>
      <c r="K12" s="6">
        <v>151.81</v>
      </c>
    </row>
    <row r="13" spans="1:11" x14ac:dyDescent="0.3">
      <c r="A13" t="s">
        <v>16</v>
      </c>
      <c r="B13" s="1">
        <f>6+38+76</f>
        <v>120</v>
      </c>
      <c r="C13" s="6">
        <f>3+2+1.5+11</f>
        <v>17.5</v>
      </c>
      <c r="D13" s="1">
        <f>2+2+1+9+4+4.5+16.5</f>
        <v>39</v>
      </c>
      <c r="E13" s="6">
        <f>9</f>
        <v>9</v>
      </c>
      <c r="F13" s="1"/>
      <c r="G13" s="1"/>
      <c r="H13" s="1">
        <f>SUM(Tabella3[[#This Row],[Ferie]:[Altre ass non r.]])</f>
        <v>185.5</v>
      </c>
      <c r="I13" s="6">
        <v>1763</v>
      </c>
      <c r="J13" s="6">
        <v>1942</v>
      </c>
      <c r="K13" s="6">
        <v>176</v>
      </c>
    </row>
    <row r="14" spans="1:11" x14ac:dyDescent="0.3">
      <c r="A14" t="s">
        <v>17</v>
      </c>
      <c r="B14" s="1">
        <f>14+7+28+64+35+28</f>
        <v>176</v>
      </c>
      <c r="C14" s="6">
        <f>3.5+1.5+4.5+1.5+3.5</f>
        <v>14.5</v>
      </c>
      <c r="D14" s="1"/>
      <c r="E14" s="1"/>
      <c r="F14" s="1"/>
      <c r="G14" s="1"/>
      <c r="H14" s="1">
        <f>SUM(Tabella3[[#This Row],[Ferie]:[Altre ass non r.]])</f>
        <v>190.5</v>
      </c>
      <c r="I14" s="6">
        <v>1561.25</v>
      </c>
      <c r="J14" s="6">
        <v>1726</v>
      </c>
      <c r="K14" s="6">
        <v>151.81</v>
      </c>
    </row>
    <row r="15" spans="1:11" x14ac:dyDescent="0.3">
      <c r="A15" t="s">
        <v>18</v>
      </c>
      <c r="B15" s="1">
        <f>39+30+49+35</f>
        <v>153</v>
      </c>
      <c r="C15" s="6">
        <f>4+4+8+1.5+2.25+7</f>
        <v>26.75</v>
      </c>
      <c r="D15" s="1"/>
      <c r="E15" s="1"/>
      <c r="F15" s="1"/>
      <c r="G15" s="1"/>
      <c r="H15" s="1">
        <f>SUM(Tabella3[[#This Row],[Ferie]:[Altre ass non r.]])</f>
        <v>179.75</v>
      </c>
      <c r="I15" s="6">
        <v>1596.25</v>
      </c>
      <c r="J15" s="6">
        <v>1766.5</v>
      </c>
      <c r="K15" s="6">
        <v>151.81</v>
      </c>
    </row>
    <row r="16" spans="1:11" x14ac:dyDescent="0.3">
      <c r="A16" t="s">
        <v>20</v>
      </c>
      <c r="B16" s="1">
        <f>90+18+10</f>
        <v>118</v>
      </c>
      <c r="C16" s="6">
        <f>10.5+6+1+9</f>
        <v>26.5</v>
      </c>
      <c r="D16" s="1">
        <f>14.5+3+2.5+4+22.5</f>
        <v>46.5</v>
      </c>
      <c r="E16" s="6">
        <f>36+20</f>
        <v>56</v>
      </c>
      <c r="F16" s="1"/>
      <c r="G16" s="1"/>
      <c r="H16" s="1">
        <f>SUM(Tabella3[[#This Row],[Ferie]:[Altre ass non r.]])</f>
        <v>247</v>
      </c>
      <c r="I16" s="6">
        <v>1525.5</v>
      </c>
      <c r="J16" s="6">
        <v>1783</v>
      </c>
      <c r="K16" s="6">
        <v>166.93</v>
      </c>
    </row>
    <row r="17" spans="1:11" x14ac:dyDescent="0.3">
      <c r="A17" t="s">
        <v>21</v>
      </c>
      <c r="B17" s="1">
        <f>4.5+69</f>
        <v>73.5</v>
      </c>
      <c r="C17" s="6">
        <f>28.5+2</f>
        <v>30.5</v>
      </c>
      <c r="D17" s="1">
        <f>20+9.5+2+4.5+6.5+15</f>
        <v>57.5</v>
      </c>
      <c r="E17" s="6"/>
      <c r="F17" s="1"/>
      <c r="G17" s="1"/>
      <c r="H17" s="1">
        <f>SUM(Tabella3[[#This Row],[Ferie]:[Altre ass non r.]])</f>
        <v>161.5</v>
      </c>
      <c r="I17" s="6">
        <v>1917</v>
      </c>
      <c r="J17" s="6">
        <v>2008</v>
      </c>
      <c r="K17" s="6">
        <v>176</v>
      </c>
    </row>
    <row r="18" spans="1:11" x14ac:dyDescent="0.3">
      <c r="A18" t="s">
        <v>22</v>
      </c>
      <c r="B18" s="1">
        <f>11+76+16</f>
        <v>103</v>
      </c>
      <c r="C18" s="6">
        <f>6+9+1.5</f>
        <v>16.5</v>
      </c>
      <c r="D18" s="1">
        <f>6+8.5+2+2+13.5</f>
        <v>32</v>
      </c>
      <c r="E18" s="6">
        <f>6</f>
        <v>6</v>
      </c>
      <c r="F18" s="1"/>
      <c r="G18" s="1"/>
      <c r="H18" s="1">
        <f>SUM(Tabella3[[#This Row],[Ferie]:[Altre ass non r.]])</f>
        <v>157.5</v>
      </c>
      <c r="I18" s="6">
        <v>1517</v>
      </c>
      <c r="J18" s="6">
        <v>1750.5</v>
      </c>
      <c r="K18" s="6">
        <v>166.93</v>
      </c>
    </row>
    <row r="19" spans="1:11" x14ac:dyDescent="0.3">
      <c r="A19" t="s">
        <v>23</v>
      </c>
      <c r="B19" s="1">
        <f>29+70+5+6</f>
        <v>110</v>
      </c>
      <c r="C19" s="6">
        <f>5.5+11</f>
        <v>16.5</v>
      </c>
      <c r="D19" s="1">
        <f>4+2+4+27</f>
        <v>37</v>
      </c>
      <c r="E19" s="6">
        <f>6</f>
        <v>6</v>
      </c>
      <c r="F19" s="1"/>
      <c r="G19" s="1"/>
      <c r="H19" s="1">
        <f>SUM(Tabella3[[#This Row],[Ferie]:[Altre ass non r.]])</f>
        <v>169.5</v>
      </c>
      <c r="I19" s="6">
        <v>1589.5</v>
      </c>
      <c r="J19" s="6">
        <v>1759</v>
      </c>
      <c r="K19" s="6">
        <v>162.38999999999999</v>
      </c>
    </row>
    <row r="20" spans="1:11" x14ac:dyDescent="0.3">
      <c r="A20" t="s">
        <v>24</v>
      </c>
      <c r="B20" s="1">
        <f>5+14+13.5+19+7+58+18</f>
        <v>134.5</v>
      </c>
      <c r="C20" s="6">
        <f>6+7</f>
        <v>13</v>
      </c>
      <c r="D20" s="1">
        <f>0.5+1+1+3.5+2.5+1.5+23</f>
        <v>33</v>
      </c>
      <c r="E20" s="1">
        <f>9+11+23</f>
        <v>43</v>
      </c>
      <c r="F20" s="1"/>
      <c r="G20" s="1"/>
      <c r="H20" s="1">
        <f>SUM(Tabella3[[#This Row],[Ferie]:[Altre ass non r.]])</f>
        <v>223.5</v>
      </c>
      <c r="I20" s="6">
        <v>1753</v>
      </c>
      <c r="J20" s="6">
        <v>1983</v>
      </c>
      <c r="K20" s="6">
        <v>176</v>
      </c>
    </row>
    <row r="21" spans="1:11" x14ac:dyDescent="0.3">
      <c r="A21" t="s">
        <v>25</v>
      </c>
      <c r="B21" s="1">
        <f>14+83+13+46</f>
        <v>156</v>
      </c>
      <c r="C21" s="6">
        <f>4+1.5+7</f>
        <v>12.5</v>
      </c>
      <c r="D21" s="1">
        <f>8+2+3+3.5+2.5+2+22.5</f>
        <v>43.5</v>
      </c>
      <c r="E21" s="6">
        <f>93</f>
        <v>93</v>
      </c>
      <c r="F21" s="1"/>
      <c r="G21" s="1"/>
      <c r="H21" s="1">
        <f>SUM(Tabella3[[#This Row],[Ferie]:[Altre ass non r.]])</f>
        <v>305</v>
      </c>
      <c r="I21" s="6">
        <v>1649</v>
      </c>
      <c r="J21" s="6">
        <v>1949.5</v>
      </c>
      <c r="K21" s="6">
        <v>176</v>
      </c>
    </row>
    <row r="22" spans="1:11" x14ac:dyDescent="0.3">
      <c r="A22" t="s">
        <v>26</v>
      </c>
      <c r="B22" s="1">
        <f>89+105+52+29</f>
        <v>275</v>
      </c>
      <c r="C22" s="6">
        <f>19+11.5</f>
        <v>30.5</v>
      </c>
      <c r="D22" s="1">
        <f>10.5+23.5</f>
        <v>34</v>
      </c>
      <c r="E22" s="6"/>
      <c r="F22" s="1"/>
      <c r="G22" s="1"/>
      <c r="H22" s="1">
        <f>SUM(Tabella3[[#This Row],[Ferie]:[Altre ass non r.]])</f>
        <v>339.5</v>
      </c>
      <c r="I22" s="6">
        <v>78</v>
      </c>
      <c r="J22" s="6">
        <v>1854</v>
      </c>
      <c r="K22" s="6">
        <v>111.93</v>
      </c>
    </row>
    <row r="23" spans="1:11" x14ac:dyDescent="0.3">
      <c r="A23" t="s">
        <v>27</v>
      </c>
      <c r="B23" s="1">
        <f>60.5+40+9.5</f>
        <v>110</v>
      </c>
      <c r="C23" s="6">
        <f>4.5+10</f>
        <v>14.5</v>
      </c>
      <c r="D23" s="1">
        <f>1+11+11+1.5+2+2+19.5</f>
        <v>48</v>
      </c>
      <c r="E23" s="6">
        <f>47</f>
        <v>47</v>
      </c>
      <c r="F23" s="1"/>
      <c r="G23" s="1"/>
      <c r="H23" s="1">
        <f>SUM(Tabella3[[#This Row],[Ferie]:[Altre ass non r.]])</f>
        <v>219.5</v>
      </c>
      <c r="I23" s="6">
        <v>1748.5</v>
      </c>
      <c r="J23" s="6">
        <v>1967</v>
      </c>
      <c r="K23" s="6">
        <v>176</v>
      </c>
    </row>
    <row r="24" spans="1:11" x14ac:dyDescent="0.3">
      <c r="A24" t="s">
        <v>28</v>
      </c>
      <c r="B24" s="1">
        <f>146.5+33+42+63+6+6</f>
        <v>296.5</v>
      </c>
      <c r="C24" s="6">
        <f>1+0.5+0.25+0.5+0.5+1</f>
        <v>3.75</v>
      </c>
      <c r="D24" s="1"/>
      <c r="E24" s="1">
        <f>7+18+12</f>
        <v>37</v>
      </c>
      <c r="F24" s="1"/>
      <c r="G24" s="1"/>
      <c r="H24" s="1">
        <f>SUM(Tabella3[[#This Row],[Ferie]:[Altre ass non r.]])</f>
        <v>337.25</v>
      </c>
      <c r="I24" s="6">
        <v>1017.25</v>
      </c>
      <c r="J24" s="6">
        <v>1699.5</v>
      </c>
      <c r="K24" s="6">
        <v>133.02000000000001</v>
      </c>
    </row>
    <row r="25" spans="1:11" x14ac:dyDescent="0.3">
      <c r="A25" t="s">
        <v>29</v>
      </c>
      <c r="B25" s="1">
        <f>18+8+87</f>
        <v>113</v>
      </c>
      <c r="C25" s="6">
        <f>6+1.5+1.5+8+19</f>
        <v>36</v>
      </c>
      <c r="D25" s="1">
        <f>8+12+8+8+10+20</f>
        <v>66</v>
      </c>
      <c r="E25" s="6">
        <f>9</f>
        <v>9</v>
      </c>
      <c r="F25" s="1"/>
      <c r="G25" s="1">
        <f>1+0.5</f>
        <v>1.5</v>
      </c>
      <c r="H25" s="1">
        <f>SUM(Tabella3[[#This Row],[Ferie]:[Altre ass non r.]])</f>
        <v>225.5</v>
      </c>
      <c r="I25" s="6">
        <v>1670.75</v>
      </c>
      <c r="J25" s="6">
        <v>1894.75</v>
      </c>
      <c r="K25" s="6">
        <v>176</v>
      </c>
    </row>
    <row r="26" spans="1:11" x14ac:dyDescent="0.3">
      <c r="A26" t="s">
        <v>30</v>
      </c>
      <c r="B26" s="1">
        <f>38+3+9+38+60+5</f>
        <v>153</v>
      </c>
      <c r="C26" s="6">
        <f>5.5+3+10+2+2+3</f>
        <v>25.5</v>
      </c>
      <c r="D26" s="1">
        <f>3+6+1</f>
        <v>10</v>
      </c>
      <c r="E26" s="6">
        <f>18</f>
        <v>18</v>
      </c>
      <c r="F26" s="1">
        <f>2+2</f>
        <v>4</v>
      </c>
      <c r="G26" s="1"/>
      <c r="H26" s="1">
        <f>SUM(Tabella3[[#This Row],[Ferie]:[Altre ass non r.]])</f>
        <v>210.5</v>
      </c>
      <c r="I26" s="6">
        <v>1240</v>
      </c>
      <c r="J26" s="6">
        <v>1938</v>
      </c>
      <c r="K26" s="6">
        <v>176</v>
      </c>
    </row>
    <row r="27" spans="1:11" x14ac:dyDescent="0.3">
      <c r="A27" t="s">
        <v>42</v>
      </c>
      <c r="B27" s="1">
        <f>2+5+7+75+59+90</f>
        <v>238</v>
      </c>
      <c r="C27" s="6"/>
      <c r="D27" s="1">
        <f>4.5+7+6.5+3.5</f>
        <v>21.5</v>
      </c>
      <c r="E27" s="6">
        <f>148+15</f>
        <v>163</v>
      </c>
      <c r="F27" s="1"/>
      <c r="G27" s="1"/>
      <c r="H27" s="1">
        <f>SUM(Tabella3[[#This Row],[Ferie]:[Altre ass non r.]])</f>
        <v>422.5</v>
      </c>
      <c r="I27" s="6">
        <v>1510.5</v>
      </c>
      <c r="J27" s="6">
        <v>1930.5</v>
      </c>
      <c r="K27" s="6">
        <v>176</v>
      </c>
    </row>
    <row r="28" spans="1:11" x14ac:dyDescent="0.3">
      <c r="A28" t="s">
        <v>31</v>
      </c>
      <c r="B28" s="1">
        <f>37.5+44.5+6+12</f>
        <v>100</v>
      </c>
      <c r="C28" s="6">
        <f>4.75+0.5+6+4+1.5+18.5</f>
        <v>35.25</v>
      </c>
      <c r="D28" s="1">
        <f>11+4.5+4.5+2.5+3+34</f>
        <v>59.5</v>
      </c>
      <c r="E28" s="6">
        <f>7</f>
        <v>7</v>
      </c>
      <c r="F28" s="1"/>
      <c r="G28" s="1"/>
      <c r="H28" s="1">
        <f>SUM(Tabella3[[#This Row],[Ferie]:[Altre ass non r.]])</f>
        <v>201.75</v>
      </c>
      <c r="I28" s="6">
        <v>1575.75</v>
      </c>
      <c r="J28" s="6">
        <v>1796.5</v>
      </c>
      <c r="K28" s="6">
        <v>162.38999999999999</v>
      </c>
    </row>
    <row r="29" spans="1:11" x14ac:dyDescent="0.3">
      <c r="A29" t="s">
        <v>32</v>
      </c>
      <c r="B29" s="1">
        <f>28+49+37.5+11.5+12+19+7.5+4</f>
        <v>168.5</v>
      </c>
      <c r="C29" s="6">
        <f>1.75+1.25+1+0.5+3.5+0.5+12</f>
        <v>20.5</v>
      </c>
      <c r="D29" s="1"/>
      <c r="E29" s="1">
        <f>7+23</f>
        <v>30</v>
      </c>
      <c r="F29" s="1"/>
      <c r="G29" s="1"/>
      <c r="H29" s="1">
        <f>SUM(Tabella3[[#This Row],[Ferie]:[Altre ass non r.]])</f>
        <v>219</v>
      </c>
      <c r="I29" s="6">
        <v>859.5</v>
      </c>
      <c r="J29" s="6">
        <v>1810</v>
      </c>
      <c r="K29" s="6">
        <v>101.21</v>
      </c>
    </row>
    <row r="30" spans="1:11" x14ac:dyDescent="0.3">
      <c r="A30" t="s">
        <v>41</v>
      </c>
      <c r="B30" s="1">
        <f t="shared" ref="B30:K30" si="0">SUBTOTAL(109,B3:B29)</f>
        <v>3788.75</v>
      </c>
      <c r="C30" s="6">
        <f t="shared" si="0"/>
        <v>546.25</v>
      </c>
      <c r="D30" s="6">
        <f t="shared" si="0"/>
        <v>984.5</v>
      </c>
      <c r="E30" s="6">
        <f t="shared" si="0"/>
        <v>575</v>
      </c>
      <c r="F30" s="6">
        <f t="shared" si="0"/>
        <v>11.5</v>
      </c>
      <c r="G30" s="6">
        <f t="shared" si="0"/>
        <v>2.5</v>
      </c>
      <c r="H30" s="1">
        <f t="shared" si="0"/>
        <v>5908.5</v>
      </c>
      <c r="I30" s="1">
        <f t="shared" si="0"/>
        <v>39179.75</v>
      </c>
      <c r="J30" s="1">
        <f t="shared" si="0"/>
        <v>47767</v>
      </c>
      <c r="K30" s="1">
        <f t="shared" si="0"/>
        <v>4146.619999999999</v>
      </c>
    </row>
    <row r="33" spans="1:11" ht="15" thickBot="1" x14ac:dyDescent="0.35">
      <c r="A33" s="2" t="s">
        <v>8</v>
      </c>
      <c r="B33" s="2" t="s">
        <v>1</v>
      </c>
      <c r="C33" s="2" t="s">
        <v>2</v>
      </c>
      <c r="D33" s="2" t="s">
        <v>3</v>
      </c>
      <c r="E33" s="2" t="s">
        <v>4</v>
      </c>
      <c r="F33" s="2" t="s">
        <v>39</v>
      </c>
      <c r="G33" s="2" t="s">
        <v>40</v>
      </c>
      <c r="H33" s="2" t="s">
        <v>41</v>
      </c>
      <c r="I33" s="2" t="s">
        <v>59</v>
      </c>
      <c r="J33" s="2" t="s">
        <v>60</v>
      </c>
      <c r="K33" s="2" t="s">
        <v>61</v>
      </c>
    </row>
    <row r="34" spans="1:11" s="10" customFormat="1" x14ac:dyDescent="0.3">
      <c r="A34" s="3" t="s">
        <v>15</v>
      </c>
      <c r="B34" s="5">
        <f>4+3+28.5</f>
        <v>35.5</v>
      </c>
      <c r="C34" s="5">
        <f>4</f>
        <v>4</v>
      </c>
      <c r="D34" s="5">
        <f>1</f>
        <v>1</v>
      </c>
      <c r="E34" s="5"/>
      <c r="F34" s="5">
        <f>11</f>
        <v>11</v>
      </c>
      <c r="G34" s="5"/>
      <c r="H34" s="5">
        <f>SUM(Tabella5[[#This Row],[Ferie]:[Altre ass non r.]])</f>
        <v>51.5</v>
      </c>
      <c r="I34" s="16">
        <v>969.5</v>
      </c>
      <c r="J34" s="16">
        <v>1021</v>
      </c>
      <c r="K34" s="16">
        <v>88.14</v>
      </c>
    </row>
    <row r="35" spans="1:11" x14ac:dyDescent="0.3">
      <c r="A35" t="s">
        <v>19</v>
      </c>
      <c r="B35" s="1">
        <f>5.5+40+62</f>
        <v>107.5</v>
      </c>
      <c r="C35" s="1">
        <f>17.5</f>
        <v>17.5</v>
      </c>
      <c r="D35" s="1">
        <f>1</f>
        <v>1</v>
      </c>
      <c r="E35" s="1"/>
      <c r="F35" s="1"/>
      <c r="G35" s="1"/>
      <c r="H35" s="1">
        <f>SUM(Tabella5[[#This Row],[Ferie]:[Altre ass non r.]])</f>
        <v>126</v>
      </c>
      <c r="I35" s="6">
        <v>1238</v>
      </c>
      <c r="J35" s="6">
        <v>1272.5</v>
      </c>
      <c r="K35" s="6">
        <v>103.1</v>
      </c>
    </row>
    <row r="36" spans="1:11" x14ac:dyDescent="0.3">
      <c r="A36" t="s">
        <v>43</v>
      </c>
      <c r="B36" s="1">
        <f>23.5+11.5</f>
        <v>35</v>
      </c>
      <c r="C36" s="6">
        <f>8</f>
        <v>8</v>
      </c>
      <c r="D36" s="6"/>
      <c r="E36" s="1"/>
      <c r="F36" s="1"/>
      <c r="G36" s="1"/>
      <c r="H36" s="1">
        <f>SUM(Tabella5[[#This Row],[Ferie]:[Altre ass non r.]])</f>
        <v>43</v>
      </c>
      <c r="I36" s="6">
        <v>530.5</v>
      </c>
      <c r="J36" s="6">
        <v>566.5</v>
      </c>
      <c r="K36" s="6">
        <v>40</v>
      </c>
    </row>
    <row r="37" spans="1:11" x14ac:dyDescent="0.3">
      <c r="A37" t="s">
        <v>41</v>
      </c>
      <c r="B37" s="6">
        <f>SUBTOTAL(109,B34:B36)</f>
        <v>178</v>
      </c>
      <c r="C37" s="6">
        <f t="shared" ref="C37:G37" si="1">SUBTOTAL(109,C34:C36)</f>
        <v>29.5</v>
      </c>
      <c r="D37" s="6">
        <f t="shared" si="1"/>
        <v>2</v>
      </c>
      <c r="E37" s="6">
        <f t="shared" si="1"/>
        <v>0</v>
      </c>
      <c r="F37" s="6">
        <f t="shared" si="1"/>
        <v>11</v>
      </c>
      <c r="G37" s="6">
        <f t="shared" si="1"/>
        <v>0</v>
      </c>
      <c r="H37" s="6">
        <f>SUM(Tabella5[[#This Row],[Ferie]:[Altre ass non r.]])</f>
        <v>220.5</v>
      </c>
      <c r="I37" s="6">
        <f>SUBTOTAL(109,I34:I36)</f>
        <v>2738</v>
      </c>
      <c r="J37" s="6">
        <f>SUBTOTAL(109,J34:J36)</f>
        <v>2860</v>
      </c>
      <c r="K37" s="6">
        <f>SUBTOTAL(109,K34:K36)</f>
        <v>231.24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689F7-BE38-4855-887F-0EDB454964D4}">
  <dimension ref="A2:K41"/>
  <sheetViews>
    <sheetView workbookViewId="0">
      <selection activeCell="E14" sqref="E14"/>
    </sheetView>
  </sheetViews>
  <sheetFormatPr defaultRowHeight="14.4" x14ac:dyDescent="0.3"/>
  <cols>
    <col min="1" max="7" width="15.77734375" customWidth="1"/>
    <col min="9" max="9" width="13.5546875" bestFit="1" customWidth="1"/>
    <col min="10" max="10" width="14.33203125" bestFit="1" customWidth="1"/>
    <col min="11" max="11" width="15.5546875" bestFit="1" customWidth="1"/>
  </cols>
  <sheetData>
    <row r="2" spans="1:11" ht="15" thickBot="1" x14ac:dyDescent="0.35">
      <c r="A2" s="2" t="s">
        <v>8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39</v>
      </c>
      <c r="G2" s="2" t="s">
        <v>40</v>
      </c>
      <c r="H2" s="2" t="s">
        <v>41</v>
      </c>
      <c r="I2" s="15" t="s">
        <v>59</v>
      </c>
      <c r="J2" s="15" t="s">
        <v>60</v>
      </c>
      <c r="K2" s="15" t="s">
        <v>61</v>
      </c>
    </row>
    <row r="3" spans="1:11" x14ac:dyDescent="0.3">
      <c r="A3" t="s">
        <v>0</v>
      </c>
      <c r="B3" s="1">
        <f>32+12+4+24+8+52+8+12+8</f>
        <v>160</v>
      </c>
      <c r="C3" s="1">
        <f>1.5</f>
        <v>1.5</v>
      </c>
      <c r="D3" s="1">
        <f>6.25+5+3.75+5+6.25+5+5+6.25+5+6.25+5+3.75</f>
        <v>62.5</v>
      </c>
      <c r="E3" s="1"/>
      <c r="F3" s="1"/>
      <c r="G3" s="1"/>
      <c r="H3" s="1">
        <f>SUM(Tabella35[[#This Row],[Ferie]:[Altre ass non r.]])</f>
        <v>224</v>
      </c>
      <c r="I3" s="6">
        <v>1233</v>
      </c>
      <c r="J3" s="6">
        <v>1269</v>
      </c>
      <c r="K3" s="6">
        <v>109.26</v>
      </c>
    </row>
    <row r="4" spans="1:11" x14ac:dyDescent="0.3">
      <c r="A4" t="s">
        <v>5</v>
      </c>
      <c r="B4" s="1">
        <f>19.5+69+16.5</f>
        <v>105</v>
      </c>
      <c r="C4" s="6">
        <f>12+4+15</f>
        <v>31</v>
      </c>
      <c r="D4" s="1">
        <f>4.5+15</f>
        <v>19.5</v>
      </c>
      <c r="E4" s="6"/>
      <c r="F4" s="1"/>
      <c r="G4" s="1"/>
      <c r="H4" s="1">
        <f>SUM(Tabella35[[#This Row],[Ferie]:[Altre ass non r.]])</f>
        <v>155.5</v>
      </c>
      <c r="I4" s="6">
        <v>1576</v>
      </c>
      <c r="J4" s="6">
        <v>1731.5</v>
      </c>
      <c r="K4" s="6">
        <v>167.76</v>
      </c>
    </row>
    <row r="5" spans="1:11" x14ac:dyDescent="0.3">
      <c r="A5" t="s">
        <v>6</v>
      </c>
      <c r="B5" s="1">
        <f>8+7.5+35+66+8</f>
        <v>124.5</v>
      </c>
      <c r="C5" s="1">
        <f>2.5+3.5+7</f>
        <v>13</v>
      </c>
      <c r="D5" s="1"/>
      <c r="E5" s="1">
        <f>15.5</f>
        <v>15.5</v>
      </c>
      <c r="F5" s="1"/>
      <c r="G5" s="1"/>
      <c r="H5" s="1">
        <f>SUM(Tabella35[[#This Row],[Ferie]:[Altre ass non r.]])</f>
        <v>153</v>
      </c>
      <c r="I5" s="6">
        <v>1628.5</v>
      </c>
      <c r="J5" s="6">
        <v>1781.5</v>
      </c>
      <c r="K5" s="6">
        <v>153.08000000000001</v>
      </c>
    </row>
    <row r="6" spans="1:11" x14ac:dyDescent="0.3">
      <c r="A6" t="s">
        <v>7</v>
      </c>
      <c r="B6" s="1">
        <f>6+21</f>
        <v>27</v>
      </c>
      <c r="C6" s="6">
        <f>1</f>
        <v>1</v>
      </c>
      <c r="D6" s="1"/>
      <c r="E6" s="1"/>
      <c r="F6" s="1"/>
      <c r="G6" s="1"/>
      <c r="H6" s="1">
        <f>SUM(Tabella35[[#This Row],[Ferie]:[Altre ass non r.]])</f>
        <v>28</v>
      </c>
      <c r="I6" s="6">
        <v>264</v>
      </c>
      <c r="J6" s="6">
        <v>1560</v>
      </c>
      <c r="K6" s="6">
        <v>90.36</v>
      </c>
    </row>
    <row r="7" spans="1:11" x14ac:dyDescent="0.3">
      <c r="A7" t="s">
        <v>9</v>
      </c>
      <c r="B7" s="1">
        <f>6+15+15+30+3</f>
        <v>69</v>
      </c>
      <c r="C7" s="1"/>
      <c r="D7" s="1">
        <f>3.75+3+3+3+3+3+3.75+3+3+3.75+3+2.25</f>
        <v>37.5</v>
      </c>
      <c r="E7" s="1"/>
      <c r="F7" s="1"/>
      <c r="G7" s="1"/>
      <c r="H7" s="1">
        <f>SUM(Tabella35[[#This Row],[Ferie]:[Altre ass non r.]])</f>
        <v>106.5</v>
      </c>
      <c r="I7" s="6">
        <v>690</v>
      </c>
      <c r="J7" s="6">
        <v>796.5</v>
      </c>
      <c r="K7" s="6">
        <v>68.290000000000006</v>
      </c>
    </row>
    <row r="8" spans="1:11" x14ac:dyDescent="0.3">
      <c r="A8" t="s">
        <v>10</v>
      </c>
      <c r="B8" s="1">
        <f>24+4+12+16+4+8+16+82.5+4+8+8+24</f>
        <v>210.5</v>
      </c>
      <c r="C8" s="1">
        <f>2+0.5+2.25+4+3</f>
        <v>11.75</v>
      </c>
      <c r="D8" s="1">
        <f>7.5+6+6+6+6+6+7.5+6+6+7.5+6+4.5</f>
        <v>75</v>
      </c>
      <c r="E8" s="1"/>
      <c r="F8" s="1"/>
      <c r="G8" s="1"/>
      <c r="H8" s="1">
        <f>SUM(Tabella35[[#This Row],[Ferie]:[Altre ass non r.]])</f>
        <v>297.25</v>
      </c>
      <c r="I8" s="6">
        <v>1378.75</v>
      </c>
      <c r="J8" s="6">
        <v>1483.25</v>
      </c>
      <c r="K8" s="6">
        <v>127.46</v>
      </c>
    </row>
    <row r="9" spans="1:11" x14ac:dyDescent="0.3">
      <c r="A9" t="s">
        <v>11</v>
      </c>
      <c r="B9" s="1">
        <f>15.5+68+74</f>
        <v>157.5</v>
      </c>
      <c r="C9" s="6">
        <f>25+4.5</f>
        <v>29.5</v>
      </c>
      <c r="D9" s="1">
        <f>12.5+7.5+18</f>
        <v>38</v>
      </c>
      <c r="E9" s="6"/>
      <c r="F9" s="1"/>
      <c r="G9" s="1"/>
      <c r="H9" s="1">
        <f>SUM(Tabella35[[#This Row],[Ferie]:[Altre ass non r.]])</f>
        <v>225</v>
      </c>
      <c r="I9" s="6">
        <v>1116.75</v>
      </c>
      <c r="J9" s="6">
        <v>1832.75</v>
      </c>
      <c r="K9" s="6">
        <v>176</v>
      </c>
    </row>
    <row r="10" spans="1:11" x14ac:dyDescent="0.3">
      <c r="A10" t="s">
        <v>12</v>
      </c>
      <c r="B10" s="1">
        <f>9+63.5+35</f>
        <v>107.5</v>
      </c>
      <c r="C10" s="6">
        <f>4</f>
        <v>4</v>
      </c>
      <c r="D10" s="1">
        <f>1</f>
        <v>1</v>
      </c>
      <c r="E10" s="6"/>
      <c r="F10" s="1"/>
      <c r="G10" s="1"/>
      <c r="H10" s="1">
        <f>SUM(Tabella35[[#This Row],[Ferie]:[Altre ass non r.]])</f>
        <v>112.5</v>
      </c>
      <c r="I10" s="6">
        <v>1547</v>
      </c>
      <c r="J10" s="6">
        <v>1658</v>
      </c>
      <c r="K10" s="6">
        <v>167.5</v>
      </c>
    </row>
    <row r="11" spans="1:11" x14ac:dyDescent="0.3">
      <c r="A11" t="s">
        <v>13</v>
      </c>
      <c r="B11" s="1">
        <f>18+12+8+32+10+56+8+76+12+24+12</f>
        <v>268</v>
      </c>
      <c r="C11" s="1">
        <f>4+8+2</f>
        <v>14</v>
      </c>
      <c r="D11" s="1">
        <f>10+8+8+8+10+8+8+8+10+8+6</f>
        <v>92</v>
      </c>
      <c r="E11" s="1"/>
      <c r="F11" s="1"/>
      <c r="G11" s="1"/>
      <c r="H11" s="1">
        <f>SUM(Tabella35[[#This Row],[Ferie]:[Altre ass non r.]])</f>
        <v>374</v>
      </c>
      <c r="I11" s="6">
        <v>1638</v>
      </c>
      <c r="J11" s="6">
        <v>1998</v>
      </c>
      <c r="K11" s="6">
        <v>173</v>
      </c>
    </row>
    <row r="12" spans="1:11" x14ac:dyDescent="0.3">
      <c r="A12" t="s">
        <v>14</v>
      </c>
      <c r="B12" s="1">
        <f>58+4+35</f>
        <v>97</v>
      </c>
      <c r="C12" s="6">
        <f>0.25+1.5</f>
        <v>1.75</v>
      </c>
      <c r="D12" s="1"/>
      <c r="E12" s="1"/>
      <c r="F12" s="1"/>
      <c r="G12" s="1"/>
      <c r="H12" s="1">
        <f>SUM(Tabella35[[#This Row],[Ferie]:[Altre ass non r.]])</f>
        <v>98.75</v>
      </c>
      <c r="I12" s="6">
        <v>1666.25</v>
      </c>
      <c r="J12" s="6">
        <v>1764</v>
      </c>
      <c r="K12" s="6">
        <v>153.08000000000001</v>
      </c>
    </row>
    <row r="13" spans="1:11" x14ac:dyDescent="0.3">
      <c r="A13" t="s">
        <v>16</v>
      </c>
      <c r="B13" s="1">
        <f>3+38+34.5+71</f>
        <v>146.5</v>
      </c>
      <c r="C13" s="6">
        <f>1.5+5+1.5+5</f>
        <v>13</v>
      </c>
      <c r="D13" s="1">
        <f>14</f>
        <v>14</v>
      </c>
      <c r="E13" s="6"/>
      <c r="F13" s="1">
        <f>6</f>
        <v>6</v>
      </c>
      <c r="G13" s="1"/>
      <c r="H13" s="1">
        <f>SUM(Tabella35[[#This Row],[Ferie]:[Altre ass non r.]])</f>
        <v>179.5</v>
      </c>
      <c r="I13" s="6">
        <v>1757.25</v>
      </c>
      <c r="J13" s="6">
        <v>1890.5</v>
      </c>
      <c r="K13" s="6">
        <v>172.91</v>
      </c>
    </row>
    <row r="14" spans="1:11" x14ac:dyDescent="0.3">
      <c r="A14" t="s">
        <v>17</v>
      </c>
      <c r="B14" s="1">
        <f>8.5+7+7+70+14</f>
        <v>106.5</v>
      </c>
      <c r="C14" s="6">
        <f>4+2+1.5+10</f>
        <v>17.5</v>
      </c>
      <c r="D14" s="1"/>
      <c r="E14" s="1">
        <f>44</f>
        <v>44</v>
      </c>
      <c r="F14" s="1"/>
      <c r="G14" s="1"/>
      <c r="H14" s="1">
        <f>SUM(Tabella35[[#This Row],[Ferie]:[Altre ass non r.]])</f>
        <v>168</v>
      </c>
      <c r="I14" s="6">
        <v>1572</v>
      </c>
      <c r="J14" s="6">
        <v>1726.5</v>
      </c>
      <c r="K14" s="6">
        <v>153.08000000000001</v>
      </c>
    </row>
    <row r="15" spans="1:11" x14ac:dyDescent="0.3">
      <c r="A15" t="s">
        <v>18</v>
      </c>
      <c r="B15" s="1">
        <f>7.5+12+70+35</f>
        <v>124.5</v>
      </c>
      <c r="C15" s="6">
        <f>4</f>
        <v>4</v>
      </c>
      <c r="D15" s="1"/>
      <c r="E15" s="1">
        <f>11.5+11.5</f>
        <v>23</v>
      </c>
      <c r="F15" s="1"/>
      <c r="G15" s="1"/>
      <c r="H15" s="1">
        <f>SUM(Tabella35[[#This Row],[Ferie]:[Altre ass non r.]])</f>
        <v>151.5</v>
      </c>
      <c r="I15" s="6">
        <v>1619.5</v>
      </c>
      <c r="J15" s="6">
        <v>1771</v>
      </c>
      <c r="K15" s="6">
        <v>153.08000000000001</v>
      </c>
    </row>
    <row r="16" spans="1:11" x14ac:dyDescent="0.3">
      <c r="A16" t="s">
        <v>20</v>
      </c>
      <c r="B16" s="1">
        <f>7+13.5+35+12+64.5</f>
        <v>132</v>
      </c>
      <c r="C16" s="6"/>
      <c r="D16" s="1"/>
      <c r="E16" s="6">
        <f>12.5+29</f>
        <v>41.5</v>
      </c>
      <c r="F16" s="1"/>
      <c r="G16" s="1"/>
      <c r="H16" s="1">
        <f>SUM(Tabella35[[#This Row],[Ferie]:[Altre ass non r.]])</f>
        <v>173.5</v>
      </c>
      <c r="I16" s="6">
        <v>1510.25</v>
      </c>
      <c r="J16" s="6">
        <v>1683.75</v>
      </c>
      <c r="K16" s="6">
        <v>167.5</v>
      </c>
    </row>
    <row r="17" spans="1:11" x14ac:dyDescent="0.3">
      <c r="A17" t="s">
        <v>21</v>
      </c>
      <c r="B17" s="1">
        <f>12.5+9+81+66</f>
        <v>168.5</v>
      </c>
      <c r="C17" s="6">
        <f>0.5+1</f>
        <v>1.5</v>
      </c>
      <c r="D17" s="1">
        <f>9+6</f>
        <v>15</v>
      </c>
      <c r="E17" s="6"/>
      <c r="F17" s="1"/>
      <c r="G17" s="1"/>
      <c r="H17" s="1">
        <f>SUM(Tabella35[[#This Row],[Ferie]:[Altre ass non r.]])</f>
        <v>185</v>
      </c>
      <c r="I17" s="6">
        <v>1954</v>
      </c>
      <c r="J17" s="6">
        <v>1960</v>
      </c>
      <c r="K17" s="6">
        <v>176</v>
      </c>
    </row>
    <row r="18" spans="1:11" x14ac:dyDescent="0.3">
      <c r="A18" t="s">
        <v>22</v>
      </c>
      <c r="B18" s="1">
        <f>9.5+29.5+80+35</f>
        <v>154</v>
      </c>
      <c r="C18" s="6">
        <f>16</f>
        <v>16</v>
      </c>
      <c r="D18" s="1">
        <f>5</f>
        <v>5</v>
      </c>
      <c r="E18" s="6"/>
      <c r="F18" s="1"/>
      <c r="G18" s="1"/>
      <c r="H18" s="1">
        <f>SUM(Tabella35[[#This Row],[Ferie]:[Altre ass non r.]])</f>
        <v>175</v>
      </c>
      <c r="I18" s="6">
        <v>1525</v>
      </c>
      <c r="J18" s="6">
        <v>1700</v>
      </c>
      <c r="K18" s="6">
        <v>167.5</v>
      </c>
    </row>
    <row r="19" spans="1:11" x14ac:dyDescent="0.3">
      <c r="A19" t="s">
        <v>23</v>
      </c>
      <c r="B19" s="1">
        <f>9+86+2+25.5</f>
        <v>122.5</v>
      </c>
      <c r="C19" s="6">
        <f>15</f>
        <v>15</v>
      </c>
      <c r="D19" s="1">
        <f>15</f>
        <v>15</v>
      </c>
      <c r="E19" s="6"/>
      <c r="F19" s="1"/>
      <c r="G19" s="1"/>
      <c r="H19" s="1">
        <f>SUM(Tabella35[[#This Row],[Ferie]:[Altre ass non r.]])</f>
        <v>152.5</v>
      </c>
      <c r="I19" s="6">
        <v>1584.75</v>
      </c>
      <c r="J19" s="6">
        <v>1735.25</v>
      </c>
      <c r="K19" s="6">
        <v>167.76</v>
      </c>
    </row>
    <row r="20" spans="1:11" x14ac:dyDescent="0.3">
      <c r="A20" t="s">
        <v>24</v>
      </c>
      <c r="B20" s="1">
        <f>5+26+76+8</f>
        <v>115</v>
      </c>
      <c r="C20" s="6">
        <f>2+1+12</f>
        <v>15</v>
      </c>
      <c r="D20" s="1">
        <f>0.5+14</f>
        <v>14.5</v>
      </c>
      <c r="E20" s="1">
        <f>9+29</f>
        <v>38</v>
      </c>
      <c r="F20" s="1"/>
      <c r="G20" s="1"/>
      <c r="H20" s="1">
        <f>SUM(Tabella35[[#This Row],[Ferie]:[Altre ass non r.]])</f>
        <v>182.5</v>
      </c>
      <c r="I20" s="6">
        <v>1752</v>
      </c>
      <c r="J20" s="6">
        <v>1902.5</v>
      </c>
      <c r="K20" s="6">
        <v>176</v>
      </c>
    </row>
    <row r="21" spans="1:11" x14ac:dyDescent="0.3">
      <c r="A21" t="s">
        <v>25</v>
      </c>
      <c r="B21" s="1">
        <f>30+82</f>
        <v>112</v>
      </c>
      <c r="C21" s="6">
        <f>2.5+20</f>
        <v>22.5</v>
      </c>
      <c r="D21" s="1">
        <f>4+4.75</f>
        <v>8.75</v>
      </c>
      <c r="E21" s="6">
        <f>14</f>
        <v>14</v>
      </c>
      <c r="F21" s="1"/>
      <c r="G21" s="1">
        <f>84+68</f>
        <v>152</v>
      </c>
      <c r="H21" s="1">
        <f>SUM(Tabella35[[#This Row],[Ferie]:[Altre ass non r.]])</f>
        <v>309.25</v>
      </c>
      <c r="I21" s="6">
        <v>480.25</v>
      </c>
      <c r="J21" s="6">
        <v>1898</v>
      </c>
      <c r="K21" s="6">
        <v>88</v>
      </c>
    </row>
    <row r="22" spans="1:11" x14ac:dyDescent="0.3">
      <c r="A22" t="s">
        <v>26</v>
      </c>
      <c r="B22" s="1">
        <f>8</f>
        <v>8</v>
      </c>
      <c r="C22" s="6">
        <f>2+0.5</f>
        <v>2.5</v>
      </c>
      <c r="D22" s="1">
        <f>6+1</f>
        <v>7</v>
      </c>
      <c r="E22" s="6">
        <f>9+21</f>
        <v>30</v>
      </c>
      <c r="F22" s="1"/>
      <c r="G22" s="1">
        <f>17</f>
        <v>17</v>
      </c>
      <c r="H22" s="1">
        <f>SUM(Tabella35[[#This Row],[Ferie]:[Altre ass non r.]])</f>
        <v>64.5</v>
      </c>
      <c r="I22" s="6">
        <v>935.5</v>
      </c>
      <c r="J22" s="6">
        <v>1795.5</v>
      </c>
      <c r="K22" s="6">
        <v>170.15</v>
      </c>
    </row>
    <row r="23" spans="1:11" x14ac:dyDescent="0.3">
      <c r="A23" t="s">
        <v>27</v>
      </c>
      <c r="B23" s="1">
        <f>14+9+86+70</f>
        <v>179</v>
      </c>
      <c r="C23" s="6">
        <f>2.25+4+2+8.5</f>
        <v>16.75</v>
      </c>
      <c r="D23" s="1">
        <f>1+3</f>
        <v>4</v>
      </c>
      <c r="E23" s="6">
        <f>13</f>
        <v>13</v>
      </c>
      <c r="F23" s="1"/>
      <c r="G23" s="1"/>
      <c r="H23" s="1">
        <f>SUM(Tabella35[[#This Row],[Ferie]:[Altre ass non r.]])</f>
        <v>212.75</v>
      </c>
      <c r="I23" s="6">
        <v>1694.75</v>
      </c>
      <c r="J23" s="6">
        <v>1866.5</v>
      </c>
      <c r="K23" s="6">
        <v>172.91</v>
      </c>
    </row>
    <row r="24" spans="1:11" x14ac:dyDescent="0.3">
      <c r="A24" t="s">
        <v>28</v>
      </c>
      <c r="B24" s="1">
        <f>15.5+4+7.5</f>
        <v>27</v>
      </c>
      <c r="C24" s="6">
        <f>1+6.5+2.5+1.25+8.5</f>
        <v>19.75</v>
      </c>
      <c r="D24" s="1"/>
      <c r="E24" s="1">
        <f>16</f>
        <v>16</v>
      </c>
      <c r="F24" s="1">
        <f>1.5+1.5+0.5+1.5+5.25</f>
        <v>10.25</v>
      </c>
      <c r="G24" s="1"/>
      <c r="H24" s="1">
        <f>SUM(Tabella35[[#This Row],[Ferie]:[Altre ass non r.]])</f>
        <v>73</v>
      </c>
      <c r="I24" s="6">
        <v>999.5</v>
      </c>
      <c r="J24" s="6">
        <v>1878.25</v>
      </c>
      <c r="K24" s="6">
        <v>161.94</v>
      </c>
    </row>
    <row r="25" spans="1:11" x14ac:dyDescent="0.3">
      <c r="A25" t="s">
        <v>29</v>
      </c>
      <c r="B25" s="1">
        <f>11+38</f>
        <v>49</v>
      </c>
      <c r="C25" s="6">
        <f>0.5</f>
        <v>0.5</v>
      </c>
      <c r="D25" s="1">
        <f>4</f>
        <v>4</v>
      </c>
      <c r="E25" s="6"/>
      <c r="F25" s="1"/>
      <c r="G25" s="1"/>
      <c r="H25" s="1">
        <f>SUM(Tabella35[[#This Row],[Ferie]:[Altre ass non r.]])</f>
        <v>53.5</v>
      </c>
      <c r="I25" s="6">
        <v>1810.75</v>
      </c>
      <c r="J25" s="6">
        <v>1864.25</v>
      </c>
      <c r="K25" s="6">
        <v>176</v>
      </c>
    </row>
    <row r="26" spans="1:11" x14ac:dyDescent="0.3">
      <c r="A26" t="s">
        <v>30</v>
      </c>
      <c r="B26" s="1">
        <f>114+13</f>
        <v>127</v>
      </c>
      <c r="C26" s="6">
        <f>1+1+11</f>
        <v>13</v>
      </c>
      <c r="D26" s="1">
        <f>1+0.5+2.5+6</f>
        <v>10</v>
      </c>
      <c r="E26" s="6">
        <f>38+38+4</f>
        <v>80</v>
      </c>
      <c r="F26" s="1"/>
      <c r="G26" s="1"/>
      <c r="H26" s="1">
        <f>SUM(Tabella35[[#This Row],[Ferie]:[Altre ass non r.]])</f>
        <v>230</v>
      </c>
      <c r="I26" s="6">
        <v>1712.75</v>
      </c>
      <c r="J26" s="6">
        <v>1917.25</v>
      </c>
      <c r="K26" s="6">
        <v>176</v>
      </c>
    </row>
    <row r="27" spans="1:11" x14ac:dyDescent="0.3">
      <c r="A27" t="s">
        <v>31</v>
      </c>
      <c r="B27" s="1">
        <f>35+74</f>
        <v>109</v>
      </c>
      <c r="C27" s="6"/>
      <c r="D27" s="1"/>
      <c r="E27" s="6"/>
      <c r="F27" s="1"/>
      <c r="G27" s="1"/>
      <c r="H27" s="1">
        <f>SUM(Tabella35[[#This Row],[Ferie]:[Altre ass non r.]])</f>
        <v>109</v>
      </c>
      <c r="I27" s="6">
        <v>1593.5</v>
      </c>
      <c r="J27" s="6">
        <v>1702.5</v>
      </c>
      <c r="K27" s="6">
        <v>167.76</v>
      </c>
    </row>
    <row r="28" spans="1:11" x14ac:dyDescent="0.3">
      <c r="A28" t="s">
        <v>32</v>
      </c>
      <c r="B28" s="1">
        <f>7.5+8+4+38</f>
        <v>57.5</v>
      </c>
      <c r="C28" s="6">
        <f>6+0.5+0.5+2</f>
        <v>9</v>
      </c>
      <c r="D28" s="1"/>
      <c r="E28" s="1">
        <f>35+35</f>
        <v>70</v>
      </c>
      <c r="F28" s="1">
        <f>1.5+3.25+3+2.75+1.5</f>
        <v>12</v>
      </c>
      <c r="G28" s="1"/>
      <c r="H28" s="1">
        <f>SUM(Tabella35[[#This Row],[Ferie]:[Altre ass non r.]])</f>
        <v>148.5</v>
      </c>
      <c r="I28" s="6">
        <v>681</v>
      </c>
      <c r="J28" s="6">
        <v>1879.5</v>
      </c>
      <c r="K28" s="6">
        <v>161.94</v>
      </c>
    </row>
    <row r="29" spans="1:11" x14ac:dyDescent="0.3">
      <c r="A29" t="s">
        <v>41</v>
      </c>
      <c r="B29" s="1">
        <f t="shared" ref="B29:K29" si="0">SUBTOTAL(109,B3:B28)</f>
        <v>3064</v>
      </c>
      <c r="C29" s="6">
        <f t="shared" si="0"/>
        <v>273.5</v>
      </c>
      <c r="D29" s="6">
        <f t="shared" si="0"/>
        <v>422.75</v>
      </c>
      <c r="E29" s="6">
        <f t="shared" si="0"/>
        <v>385</v>
      </c>
      <c r="F29" s="6">
        <f t="shared" si="0"/>
        <v>28.25</v>
      </c>
      <c r="G29" s="6">
        <f t="shared" si="0"/>
        <v>169</v>
      </c>
      <c r="H29" s="1">
        <f t="shared" si="0"/>
        <v>4342.5</v>
      </c>
      <c r="I29" s="1">
        <f t="shared" si="0"/>
        <v>35921</v>
      </c>
      <c r="J29" s="1">
        <f t="shared" si="0"/>
        <v>45045.75</v>
      </c>
      <c r="K29" s="1">
        <f t="shared" si="0"/>
        <v>3994.32</v>
      </c>
    </row>
    <row r="32" spans="1:11" ht="15.6" customHeight="1" thickBot="1" x14ac:dyDescent="0.35">
      <c r="A32" s="2" t="s">
        <v>8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39</v>
      </c>
      <c r="G32" s="2" t="s">
        <v>40</v>
      </c>
      <c r="H32" s="2" t="s">
        <v>41</v>
      </c>
      <c r="I32" s="15" t="s">
        <v>59</v>
      </c>
      <c r="J32" s="15" t="s">
        <v>60</v>
      </c>
      <c r="K32" s="15" t="s">
        <v>61</v>
      </c>
    </row>
    <row r="33" spans="1:11" s="10" customFormat="1" x14ac:dyDescent="0.3">
      <c r="A33" s="11" t="s">
        <v>48</v>
      </c>
      <c r="B33" s="5">
        <f>19</f>
        <v>19</v>
      </c>
      <c r="C33" s="5"/>
      <c r="D33" s="5">
        <f>1+0.5+1</f>
        <v>2.5</v>
      </c>
      <c r="E33" s="5"/>
      <c r="F33" s="5"/>
      <c r="G33" s="5"/>
      <c r="H33" s="5">
        <f>SUM(Tabella57[[#This Row],[Ferie]:[Altre ass non r.]])</f>
        <v>21.5</v>
      </c>
      <c r="I33" s="16">
        <v>501.5</v>
      </c>
      <c r="J33" s="16">
        <v>511.5</v>
      </c>
      <c r="K33" s="16">
        <v>44</v>
      </c>
    </row>
    <row r="34" spans="1:11" s="10" customFormat="1" x14ac:dyDescent="0.3">
      <c r="A34" s="11" t="s">
        <v>45</v>
      </c>
      <c r="B34" s="5">
        <f>24+53</f>
        <v>77</v>
      </c>
      <c r="C34" s="5"/>
      <c r="D34" s="5"/>
      <c r="E34" s="5"/>
      <c r="F34" s="5"/>
      <c r="G34" s="5"/>
      <c r="H34" s="5">
        <f>SUM(Tabella57[[#This Row],[Ferie]:[Altre ass non r.]])</f>
        <v>77</v>
      </c>
      <c r="I34" s="16">
        <v>1199</v>
      </c>
      <c r="J34" s="16">
        <v>1276</v>
      </c>
      <c r="K34" s="16">
        <v>115.78</v>
      </c>
    </row>
    <row r="35" spans="1:11" s="10" customFormat="1" x14ac:dyDescent="0.3">
      <c r="A35" s="11" t="s">
        <v>49</v>
      </c>
      <c r="B35" s="4"/>
      <c r="C35" s="4"/>
      <c r="D35" s="4">
        <f>1</f>
        <v>1</v>
      </c>
      <c r="E35" s="5"/>
      <c r="F35" s="4"/>
      <c r="G35" s="5"/>
      <c r="H35" s="4">
        <f>SUM(Tabella57[[#This Row],[Ferie]:[Altre ass non r.]])</f>
        <v>1</v>
      </c>
      <c r="I35" s="16">
        <v>103</v>
      </c>
      <c r="J35" s="16">
        <v>101.5</v>
      </c>
      <c r="K35" s="16">
        <v>14.67</v>
      </c>
    </row>
    <row r="36" spans="1:11" s="10" customFormat="1" x14ac:dyDescent="0.3">
      <c r="A36" s="11" t="s">
        <v>46</v>
      </c>
      <c r="B36" s="4"/>
      <c r="C36" s="4"/>
      <c r="D36" s="4"/>
      <c r="E36" s="5"/>
      <c r="F36" s="4"/>
      <c r="G36" s="5"/>
      <c r="H36" s="4">
        <f>SUM(Tabella57[[#This Row],[Ferie]:[Altre ass non r.]])</f>
        <v>0</v>
      </c>
      <c r="I36" s="16">
        <v>71</v>
      </c>
      <c r="J36" s="16">
        <v>71</v>
      </c>
      <c r="K36" s="16">
        <v>5.87</v>
      </c>
    </row>
    <row r="37" spans="1:11" s="10" customFormat="1" x14ac:dyDescent="0.3">
      <c r="A37" s="11" t="s">
        <v>44</v>
      </c>
      <c r="B37" s="5">
        <f>15+15+16.5+30+30+30</f>
        <v>136.5</v>
      </c>
      <c r="C37" s="5">
        <f t="shared" ref="C37" si="1">7.5</f>
        <v>7.5</v>
      </c>
      <c r="D37" s="5">
        <f>8+6+6+6.5+6+6.5+7.5+6+6+7.5+1.5</f>
        <v>67.5</v>
      </c>
      <c r="E37" s="5"/>
      <c r="F37" s="5">
        <f t="shared" ref="F37" si="2">4+22.5+21+4+7.5</f>
        <v>59</v>
      </c>
      <c r="G37" s="5"/>
      <c r="H37" s="5">
        <f>SUM(Tabella57[[#This Row],[Ferie]:[Altre ass non r.]])</f>
        <v>270.5</v>
      </c>
      <c r="I37" s="16">
        <v>1094.5</v>
      </c>
      <c r="J37" s="16">
        <v>1358.07</v>
      </c>
      <c r="K37" s="16">
        <v>113.81</v>
      </c>
    </row>
    <row r="38" spans="1:11" x14ac:dyDescent="0.3">
      <c r="A38" s="12" t="s">
        <v>19</v>
      </c>
      <c r="B38" s="1">
        <f>15.5</f>
        <v>15.5</v>
      </c>
      <c r="C38" s="1"/>
      <c r="D38" s="1"/>
      <c r="E38" s="1"/>
      <c r="F38" s="1"/>
      <c r="G38" s="1"/>
      <c r="H38" s="1">
        <f>SUM(Tabella57[[#This Row],[Ferie]:[Altre ass non r.]])</f>
        <v>15.5</v>
      </c>
      <c r="I38" s="6">
        <v>367.5</v>
      </c>
      <c r="J38" s="6">
        <v>381.5</v>
      </c>
      <c r="K38" s="6">
        <f>29.33+6.17</f>
        <v>35.5</v>
      </c>
    </row>
    <row r="39" spans="1:11" x14ac:dyDescent="0.3">
      <c r="A39" s="12" t="s">
        <v>42</v>
      </c>
      <c r="B39" s="1"/>
      <c r="C39" s="6">
        <f>1</f>
        <v>1</v>
      </c>
      <c r="D39" s="6">
        <f>1</f>
        <v>1</v>
      </c>
      <c r="E39" s="1"/>
      <c r="F39" s="1"/>
      <c r="G39" s="1"/>
      <c r="H39" s="1">
        <f>SUM(Tabella57[[#This Row],[Ferie]:[Altre ass non r.]])</f>
        <v>2</v>
      </c>
      <c r="I39" s="6">
        <v>111</v>
      </c>
      <c r="J39" s="6">
        <v>125</v>
      </c>
      <c r="K39" s="6">
        <v>14.67</v>
      </c>
    </row>
    <row r="40" spans="1:11" x14ac:dyDescent="0.3">
      <c r="A40" s="12" t="s">
        <v>47</v>
      </c>
      <c r="B40" s="6">
        <f>6+5.5+9+84.5</f>
        <v>105</v>
      </c>
      <c r="C40" s="6"/>
      <c r="D40" s="6">
        <f>1+9+2.5</f>
        <v>12.5</v>
      </c>
      <c r="E40" s="1">
        <f>101</f>
        <v>101</v>
      </c>
      <c r="F40" s="6"/>
      <c r="G40" s="1"/>
      <c r="H40" s="6">
        <f>SUM(Tabella57[[#This Row],[Ferie]:[Altre ass non r.]])</f>
        <v>218.5</v>
      </c>
      <c r="I40" s="6">
        <v>1150</v>
      </c>
      <c r="J40" s="6">
        <v>1353</v>
      </c>
      <c r="K40" s="6">
        <v>114.24</v>
      </c>
    </row>
    <row r="41" spans="1:11" x14ac:dyDescent="0.3">
      <c r="A41" t="s">
        <v>41</v>
      </c>
      <c r="B41" s="6">
        <f>SUBTOTAL(109,B33:B40)</f>
        <v>353</v>
      </c>
      <c r="C41" s="6">
        <f t="shared" ref="C41:G41" si="3">SUBTOTAL(109,C33:C40)</f>
        <v>8.5</v>
      </c>
      <c r="D41" s="6">
        <f t="shared" si="3"/>
        <v>84.5</v>
      </c>
      <c r="E41" s="6">
        <f t="shared" si="3"/>
        <v>101</v>
      </c>
      <c r="F41" s="6">
        <f t="shared" si="3"/>
        <v>59</v>
      </c>
      <c r="G41" s="6">
        <f t="shared" si="3"/>
        <v>0</v>
      </c>
      <c r="H41" s="6">
        <f>SUM(Tabella57[[#This Row],[Ferie]:[Altre ass non r.]])</f>
        <v>606</v>
      </c>
      <c r="I41" s="6">
        <f>SUBTOTAL(109,I33:I40)</f>
        <v>4597.5</v>
      </c>
      <c r="J41" s="6">
        <f>SUBTOTAL(109,J33:J40)</f>
        <v>5177.57</v>
      </c>
      <c r="K41" s="6">
        <f>SUBTOTAL(109,K33:K40)</f>
        <v>458.54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94B29-BB6F-4103-8D10-EF15ADCDDA15}">
  <dimension ref="B1:K27"/>
  <sheetViews>
    <sheetView topLeftCell="A4" workbookViewId="0">
      <selection activeCell="E28" sqref="E28"/>
    </sheetView>
  </sheetViews>
  <sheetFormatPr defaultRowHeight="14.4" x14ac:dyDescent="0.3"/>
  <cols>
    <col min="2" max="2" width="10.6640625" customWidth="1"/>
    <col min="3" max="3" width="17.33203125" customWidth="1"/>
    <col min="4" max="4" width="18.109375" customWidth="1"/>
    <col min="5" max="5" width="19.88671875" customWidth="1"/>
    <col min="6" max="6" width="15.6640625" customWidth="1"/>
    <col min="7" max="7" width="14.6640625" customWidth="1"/>
    <col min="8" max="8" width="13.44140625" customWidth="1"/>
    <col min="9" max="9" width="12.6640625" customWidth="1"/>
    <col min="11" max="11" width="29.21875" bestFit="1" customWidth="1"/>
  </cols>
  <sheetData>
    <row r="1" spans="2:11" x14ac:dyDescent="0.3">
      <c r="B1" s="37" t="s">
        <v>78</v>
      </c>
      <c r="C1" s="37"/>
      <c r="D1" s="37"/>
      <c r="E1" s="37"/>
      <c r="F1" s="37"/>
      <c r="G1" s="37"/>
      <c r="H1" s="37"/>
    </row>
    <row r="2" spans="2:11" x14ac:dyDescent="0.3">
      <c r="B2" s="37"/>
      <c r="C2" s="37"/>
      <c r="D2" s="37"/>
      <c r="E2" s="37"/>
      <c r="F2" s="37"/>
      <c r="G2" s="37"/>
      <c r="H2" s="37"/>
    </row>
    <row r="3" spans="2:11" ht="19.2" customHeight="1" x14ac:dyDescent="0.3">
      <c r="B3" s="38" t="s">
        <v>56</v>
      </c>
      <c r="C3" s="38"/>
      <c r="D3" s="38"/>
      <c r="E3" s="38"/>
      <c r="F3" s="38"/>
      <c r="G3" s="38"/>
      <c r="H3" s="38"/>
    </row>
    <row r="4" spans="2:11" ht="4.2" customHeight="1" x14ac:dyDescent="0.3">
      <c r="B4" s="39"/>
      <c r="C4" s="39"/>
      <c r="D4" s="39"/>
      <c r="E4" s="39"/>
      <c r="F4" s="39"/>
      <c r="G4" s="39"/>
      <c r="H4" s="39"/>
    </row>
    <row r="5" spans="2:11" s="14" customFormat="1" ht="28.8" customHeight="1" x14ac:dyDescent="0.3">
      <c r="B5" s="40" t="s">
        <v>55</v>
      </c>
      <c r="C5" s="40" t="s">
        <v>58</v>
      </c>
      <c r="D5" s="41" t="s">
        <v>50</v>
      </c>
      <c r="E5" s="41" t="s">
        <v>51</v>
      </c>
      <c r="F5" s="41" t="s">
        <v>52</v>
      </c>
      <c r="G5" s="41" t="s">
        <v>53</v>
      </c>
      <c r="H5" s="41" t="s">
        <v>54</v>
      </c>
      <c r="I5" s="41" t="s">
        <v>85</v>
      </c>
      <c r="K5" s="13"/>
    </row>
    <row r="6" spans="2:11" x14ac:dyDescent="0.3">
      <c r="B6" s="42">
        <v>2015</v>
      </c>
      <c r="C6" s="43">
        <f>'2015'!C29+'2015'!D29+'2015'!E29+'2015'!F29+'2015'!G29</f>
        <v>1278.5</v>
      </c>
      <c r="D6" s="43">
        <f>'2015'!I29</f>
        <v>35921</v>
      </c>
      <c r="E6" s="43">
        <f>'2015'!J29</f>
        <v>45045.75</v>
      </c>
      <c r="F6" s="43">
        <f>'2015'!E29</f>
        <v>385</v>
      </c>
      <c r="G6" s="43">
        <f>'2015'!K29</f>
        <v>3994.32</v>
      </c>
      <c r="H6" s="43">
        <f>'2015'!B29</f>
        <v>3064</v>
      </c>
      <c r="I6" s="43"/>
    </row>
    <row r="7" spans="2:11" x14ac:dyDescent="0.3">
      <c r="B7" s="42">
        <v>2016</v>
      </c>
      <c r="C7" s="43">
        <f>'2016'!C30+'2016'!D30+'2016'!E30+'2016'!F30+'2016'!G30</f>
        <v>2119.75</v>
      </c>
      <c r="D7" s="43">
        <f>'2016'!I30</f>
        <v>39179.75</v>
      </c>
      <c r="E7" s="43">
        <f>'2016'!J30</f>
        <v>47767</v>
      </c>
      <c r="F7" s="43">
        <f>'2016'!E30</f>
        <v>575</v>
      </c>
      <c r="G7" s="43">
        <f>'2016'!K30</f>
        <v>4146.619999999999</v>
      </c>
      <c r="H7" s="43">
        <f>'2016'!B30</f>
        <v>3788.75</v>
      </c>
      <c r="I7" s="43"/>
    </row>
    <row r="8" spans="2:11" x14ac:dyDescent="0.3">
      <c r="B8" s="42">
        <v>2017</v>
      </c>
      <c r="C8" s="43">
        <f>'2017'!C29+'2017'!D29+'2017'!E29+'2017'!F29+'2017'!G29</f>
        <v>2024.75</v>
      </c>
      <c r="D8" s="43">
        <f>'2017'!I29</f>
        <v>40393</v>
      </c>
      <c r="E8" s="43">
        <f>'2017'!J29</f>
        <v>47946.25</v>
      </c>
      <c r="F8" s="43">
        <f>'2017'!E29</f>
        <v>347.5</v>
      </c>
      <c r="G8" s="43">
        <f>'2017'!K29</f>
        <v>4144.8500000000004</v>
      </c>
      <c r="H8" s="43">
        <f>'2017'!B29</f>
        <v>3967.75</v>
      </c>
      <c r="I8" s="43"/>
    </row>
    <row r="9" spans="2:11" x14ac:dyDescent="0.3">
      <c r="B9" s="39"/>
      <c r="C9" s="39"/>
      <c r="D9" s="39"/>
      <c r="E9" s="39"/>
      <c r="F9" s="39"/>
      <c r="G9" s="39"/>
      <c r="H9" s="39"/>
    </row>
    <row r="10" spans="2:11" ht="19.2" customHeight="1" x14ac:dyDescent="0.3">
      <c r="B10" s="38" t="s">
        <v>57</v>
      </c>
      <c r="C10" s="38"/>
      <c r="D10" s="38"/>
      <c r="E10" s="38"/>
      <c r="F10" s="38"/>
      <c r="G10" s="38"/>
      <c r="H10" s="38"/>
    </row>
    <row r="11" spans="2:11" ht="4.2" customHeight="1" x14ac:dyDescent="0.3">
      <c r="B11" s="39"/>
      <c r="C11" s="39"/>
      <c r="D11" s="39"/>
      <c r="E11" s="39"/>
      <c r="F11" s="39"/>
      <c r="G11" s="39"/>
      <c r="H11" s="39"/>
    </row>
    <row r="12" spans="2:11" s="14" customFormat="1" ht="28.8" customHeight="1" x14ac:dyDescent="0.3">
      <c r="B12" s="40" t="s">
        <v>55</v>
      </c>
      <c r="C12" s="40" t="s">
        <v>58</v>
      </c>
      <c r="D12" s="41" t="s">
        <v>50</v>
      </c>
      <c r="E12" s="41" t="s">
        <v>51</v>
      </c>
      <c r="F12" s="41" t="s">
        <v>52</v>
      </c>
      <c r="G12" s="41" t="s">
        <v>53</v>
      </c>
      <c r="H12" s="41" t="s">
        <v>54</v>
      </c>
      <c r="K12" s="13"/>
    </row>
    <row r="13" spans="2:11" x14ac:dyDescent="0.3">
      <c r="B13" s="42">
        <v>2015</v>
      </c>
      <c r="C13" s="43">
        <f>'2015'!C41+'2015'!D41+'2015'!E41+'2015'!F41+'2015'!G41</f>
        <v>253</v>
      </c>
      <c r="D13" s="43">
        <f>'2015'!I41</f>
        <v>4597.5</v>
      </c>
      <c r="E13" s="43">
        <f>'2015'!J41</f>
        <v>5177.57</v>
      </c>
      <c r="F13" s="43">
        <f>'2015'!E41</f>
        <v>101</v>
      </c>
      <c r="G13" s="43">
        <f>'2015'!K41</f>
        <v>458.54</v>
      </c>
      <c r="H13" s="43">
        <f>'2015'!B41</f>
        <v>353</v>
      </c>
    </row>
    <row r="14" spans="2:11" x14ac:dyDescent="0.3">
      <c r="B14" s="42">
        <v>2016</v>
      </c>
      <c r="C14" s="43">
        <f>'2016'!C37+'2016'!D37+'2016'!E37+'2016'!F37+'2016'!G37</f>
        <v>42.5</v>
      </c>
      <c r="D14" s="43">
        <f>'2016'!I37</f>
        <v>2738</v>
      </c>
      <c r="E14" s="43">
        <f>'2016'!J37</f>
        <v>2860</v>
      </c>
      <c r="F14" s="43">
        <f>'2016'!E37</f>
        <v>0</v>
      </c>
      <c r="G14" s="43">
        <f>'2016'!K37</f>
        <v>231.24</v>
      </c>
      <c r="H14" s="43">
        <f>'2016'!B37</f>
        <v>178</v>
      </c>
    </row>
    <row r="15" spans="2:11" x14ac:dyDescent="0.3">
      <c r="B15" s="42">
        <v>2017</v>
      </c>
      <c r="C15" s="43">
        <f>'2017'!C41+'2017'!D41+'2017'!E41+'2017'!F41+'2017'!G41</f>
        <v>166</v>
      </c>
      <c r="D15" s="43">
        <f>'2017'!I41</f>
        <v>4668</v>
      </c>
      <c r="E15" s="43">
        <f>'2017'!J41</f>
        <v>4912.5</v>
      </c>
      <c r="F15" s="43">
        <f>'2017'!E41</f>
        <v>31</v>
      </c>
      <c r="G15" s="43">
        <f>'2017'!K41</f>
        <v>355.15</v>
      </c>
      <c r="H15" s="43">
        <f>'2017'!B41</f>
        <v>108</v>
      </c>
    </row>
    <row r="16" spans="2:11" x14ac:dyDescent="0.3">
      <c r="B16" s="39"/>
      <c r="C16" s="39"/>
      <c r="D16" s="39"/>
      <c r="E16" s="39"/>
      <c r="F16" s="39"/>
      <c r="G16" s="39"/>
      <c r="H16" s="39"/>
    </row>
    <row r="17" spans="2:8" x14ac:dyDescent="0.3">
      <c r="B17" s="39"/>
      <c r="C17" s="39"/>
      <c r="D17" s="39"/>
      <c r="E17" s="39"/>
      <c r="F17" s="39"/>
      <c r="G17" s="39"/>
      <c r="H17" s="39"/>
    </row>
    <row r="18" spans="2:8" x14ac:dyDescent="0.3">
      <c r="B18" s="39"/>
      <c r="C18" s="39"/>
      <c r="D18" s="39"/>
      <c r="E18" s="39"/>
      <c r="F18" s="39"/>
      <c r="G18" s="39"/>
      <c r="H18" s="39"/>
    </row>
    <row r="19" spans="2:8" ht="28.8" customHeight="1" x14ac:dyDescent="0.3">
      <c r="B19" s="44" t="s">
        <v>76</v>
      </c>
      <c r="C19" s="44"/>
      <c r="D19" s="44"/>
      <c r="E19" s="44"/>
      <c r="F19" s="44"/>
      <c r="G19" s="44"/>
      <c r="H19" s="44"/>
    </row>
    <row r="20" spans="2:8" x14ac:dyDescent="0.3">
      <c r="B20" s="39"/>
      <c r="C20" s="39"/>
      <c r="D20" s="39"/>
      <c r="E20" s="39"/>
      <c r="F20" s="39"/>
      <c r="G20" s="39"/>
      <c r="H20" s="39"/>
    </row>
    <row r="21" spans="2:8" x14ac:dyDescent="0.3">
      <c r="B21" s="39" t="s">
        <v>77</v>
      </c>
      <c r="C21" s="45"/>
      <c r="D21" s="45"/>
      <c r="E21" s="39"/>
      <c r="F21" s="39"/>
      <c r="G21" s="39"/>
      <c r="H21" s="39"/>
    </row>
    <row r="22" spans="2:8" x14ac:dyDescent="0.3">
      <c r="B22" s="45"/>
      <c r="C22" s="39"/>
      <c r="D22" s="39"/>
      <c r="E22" s="39"/>
      <c r="F22" s="39"/>
      <c r="G22" s="39"/>
      <c r="H22" s="39"/>
    </row>
    <row r="25" spans="2:8" x14ac:dyDescent="0.3">
      <c r="B25">
        <v>2015</v>
      </c>
      <c r="C25">
        <f>+D6/(C6+F6+H6)</f>
        <v>7.598307773664728</v>
      </c>
      <c r="E25">
        <f>+D13/(C13+F13+H13)</f>
        <v>6.5028288543140027</v>
      </c>
    </row>
    <row r="26" spans="2:8" x14ac:dyDescent="0.3">
      <c r="B26">
        <v>2016</v>
      </c>
      <c r="C26">
        <f>+D7/(C7+F7+H7)</f>
        <v>6.0429937533739491</v>
      </c>
      <c r="E26">
        <f>+D14/(C14+F14+H14)</f>
        <v>12.417233560090702</v>
      </c>
    </row>
    <row r="27" spans="2:8" x14ac:dyDescent="0.3">
      <c r="B27">
        <v>2017</v>
      </c>
      <c r="C27">
        <f>+D8/(C8+F8+H8)</f>
        <v>6.3711356466876969</v>
      </c>
      <c r="E27">
        <f>+D15/(C15+F15+H15)</f>
        <v>15.304918032786885</v>
      </c>
    </row>
  </sheetData>
  <mergeCells count="4">
    <mergeCell ref="B3:H3"/>
    <mergeCell ref="B10:H10"/>
    <mergeCell ref="B19:H19"/>
    <mergeCell ref="B1:H2"/>
  </mergeCells>
  <pageMargins left="1" right="1" top="1" bottom="1" header="0.5" footer="0.5"/>
  <pageSetup paperSize="9" orientation="landscape" r:id="rId1"/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09643-530F-403F-9DC5-6C22904A13E2}">
  <dimension ref="B1:Q22"/>
  <sheetViews>
    <sheetView tabSelected="1" topLeftCell="D1" workbookViewId="0">
      <selection activeCell="I1" sqref="I1:P21"/>
    </sheetView>
  </sheetViews>
  <sheetFormatPr defaultRowHeight="14.4" x14ac:dyDescent="0.3"/>
  <cols>
    <col min="2" max="2" width="10.6640625" customWidth="1"/>
    <col min="3" max="3" width="17.33203125" customWidth="1"/>
    <col min="4" max="4" width="18.109375" customWidth="1"/>
    <col min="5" max="5" width="19.88671875" customWidth="1"/>
    <col min="6" max="6" width="15.6640625" customWidth="1"/>
    <col min="7" max="7" width="14.6640625" customWidth="1"/>
    <col min="8" max="8" width="13.44140625" customWidth="1"/>
    <col min="9" max="19" width="14.77734375" customWidth="1"/>
  </cols>
  <sheetData>
    <row r="1" spans="2:17" ht="14.4" customHeight="1" x14ac:dyDescent="0.3">
      <c r="B1" s="37" t="s">
        <v>78</v>
      </c>
      <c r="C1" s="37"/>
      <c r="D1" s="37"/>
      <c r="E1" s="37"/>
      <c r="F1" s="37"/>
      <c r="G1" s="37"/>
      <c r="H1" s="37"/>
      <c r="I1" s="37" t="s">
        <v>89</v>
      </c>
      <c r="J1" s="37"/>
      <c r="K1" s="37"/>
      <c r="L1" s="37"/>
      <c r="M1" s="37"/>
      <c r="N1" s="37"/>
      <c r="O1" s="37"/>
      <c r="P1" s="37"/>
      <c r="Q1" s="46"/>
    </row>
    <row r="2" spans="2:17" ht="14.4" customHeight="1" x14ac:dyDescent="0.3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46"/>
    </row>
    <row r="3" spans="2:17" ht="19.2" customHeight="1" x14ac:dyDescent="0.3">
      <c r="B3" s="38" t="s">
        <v>56</v>
      </c>
      <c r="C3" s="38"/>
      <c r="D3" s="38"/>
      <c r="E3" s="38"/>
      <c r="F3" s="38"/>
      <c r="G3" s="38"/>
      <c r="H3" s="38"/>
      <c r="J3" s="39"/>
      <c r="K3" s="47" t="s">
        <v>56</v>
      </c>
      <c r="L3" s="47"/>
      <c r="M3" s="47"/>
      <c r="N3" s="47"/>
      <c r="O3" s="48"/>
      <c r="P3" s="39"/>
    </row>
    <row r="4" spans="2:17" ht="4.2" customHeight="1" x14ac:dyDescent="0.3">
      <c r="B4" s="39"/>
      <c r="C4" s="39"/>
      <c r="D4" s="39"/>
      <c r="E4" s="39"/>
      <c r="F4" s="39"/>
      <c r="G4" s="39"/>
      <c r="H4" s="39"/>
      <c r="J4" s="39"/>
      <c r="K4" s="39"/>
      <c r="L4" s="39"/>
      <c r="M4" s="39"/>
      <c r="N4" s="39"/>
      <c r="O4" s="39"/>
      <c r="P4" s="39"/>
    </row>
    <row r="5" spans="2:17" s="14" customFormat="1" ht="28.8" customHeight="1" x14ac:dyDescent="0.3">
      <c r="B5" s="40" t="s">
        <v>55</v>
      </c>
      <c r="C5" s="40" t="s">
        <v>58</v>
      </c>
      <c r="D5" s="41" t="s">
        <v>50</v>
      </c>
      <c r="E5" s="41" t="s">
        <v>51</v>
      </c>
      <c r="F5" s="41" t="s">
        <v>52</v>
      </c>
      <c r="G5" s="41" t="s">
        <v>53</v>
      </c>
      <c r="H5" s="41" t="s">
        <v>54</v>
      </c>
      <c r="J5" s="40"/>
      <c r="K5" s="40"/>
      <c r="L5" s="53" t="s">
        <v>55</v>
      </c>
      <c r="M5" s="54" t="s">
        <v>86</v>
      </c>
      <c r="N5" s="40"/>
      <c r="O5" s="40"/>
      <c r="P5" s="40"/>
    </row>
    <row r="6" spans="2:17" x14ac:dyDescent="0.3">
      <c r="B6" s="42">
        <v>2015</v>
      </c>
      <c r="C6" s="43">
        <f>'2015'!C29+'2015'!D29+'2015'!E29+'2015'!F29+'2015'!G29</f>
        <v>1278.5</v>
      </c>
      <c r="D6" s="43">
        <f>'2015'!I29</f>
        <v>35921</v>
      </c>
      <c r="E6" s="43">
        <f>'2015'!J29</f>
        <v>45045.75</v>
      </c>
      <c r="F6" s="43">
        <f>'2015'!E29</f>
        <v>385</v>
      </c>
      <c r="G6" s="43">
        <f>'2015'!K29</f>
        <v>3994.32</v>
      </c>
      <c r="H6" s="43">
        <f>'2015'!B29</f>
        <v>3064</v>
      </c>
      <c r="J6" s="49"/>
      <c r="K6" s="39"/>
      <c r="L6" s="51">
        <v>2015</v>
      </c>
      <c r="M6" s="52">
        <f>+(Tabella79[[#This Row],[Ore di assenza]]+Tabella79[[#This Row],[Ore di assenza per malattia]]+Tabella79[[#This Row],[Ore di ferie usufruite]])/Tabella79[[#This Row],[Ore effettive lavorate]]</f>
        <v>0.13160825144066146</v>
      </c>
      <c r="N6" s="39"/>
      <c r="O6" s="39"/>
      <c r="P6" s="39"/>
    </row>
    <row r="7" spans="2:17" x14ac:dyDescent="0.3">
      <c r="B7" s="42">
        <v>2016</v>
      </c>
      <c r="C7" s="43">
        <f>'2016'!C30+'2016'!D30+'2016'!E30+'2016'!F30+'2016'!G30</f>
        <v>2119.75</v>
      </c>
      <c r="D7" s="43">
        <f>'2016'!I30</f>
        <v>39179.75</v>
      </c>
      <c r="E7" s="43">
        <f>'2016'!J30</f>
        <v>47767</v>
      </c>
      <c r="F7" s="43">
        <f>'2016'!E30</f>
        <v>575</v>
      </c>
      <c r="G7" s="43">
        <f>'2016'!K30</f>
        <v>4146.619999999999</v>
      </c>
      <c r="H7" s="43">
        <f>'2016'!B30</f>
        <v>3788.75</v>
      </c>
      <c r="J7" s="49"/>
      <c r="K7" s="39"/>
      <c r="L7" s="51">
        <v>2016</v>
      </c>
      <c r="M7" s="52">
        <f>+(Tabella79[[#This Row],[Ore di assenza]]+Tabella79[[#This Row],[Ore di assenza per malattia]]+Tabella79[[#This Row],[Ore di ferie usufruite]])/Tabella79[[#This Row],[Ore effettive lavorate]]</f>
        <v>0.16548089255291318</v>
      </c>
      <c r="N7" s="39"/>
      <c r="O7" s="39"/>
      <c r="P7" s="39"/>
    </row>
    <row r="8" spans="2:17" x14ac:dyDescent="0.3">
      <c r="B8" s="42">
        <v>2017</v>
      </c>
      <c r="C8" s="43">
        <f>'2017'!C29+'2017'!D29+'2017'!E29+'2017'!F29+'2017'!G29</f>
        <v>2024.75</v>
      </c>
      <c r="D8" s="43">
        <f>'2017'!I29</f>
        <v>40393</v>
      </c>
      <c r="E8" s="43">
        <f>'2017'!J29</f>
        <v>47946.25</v>
      </c>
      <c r="F8" s="43">
        <f>'2017'!E29</f>
        <v>347.5</v>
      </c>
      <c r="G8" s="43">
        <f>'2017'!K29</f>
        <v>4144.8500000000004</v>
      </c>
      <c r="H8" s="43">
        <f>'2017'!B29</f>
        <v>3967.75</v>
      </c>
      <c r="J8" s="50"/>
      <c r="K8" s="39"/>
      <c r="L8" s="51">
        <v>2017</v>
      </c>
      <c r="M8" s="52">
        <f>+(Tabella79[[#This Row],[Ore di assenza]]+Tabella79[[#This Row],[Ore di assenza per malattia]]+Tabella79[[#This Row],[Ore di ferie usufruite]])/Tabella79[[#This Row],[Ore effettive lavorate]]</f>
        <v>0.15695788874309904</v>
      </c>
      <c r="N8" s="39"/>
      <c r="O8" s="39"/>
      <c r="P8" s="39"/>
    </row>
    <row r="9" spans="2:17" x14ac:dyDescent="0.3">
      <c r="B9" s="39"/>
      <c r="C9" s="39"/>
      <c r="D9" s="39"/>
      <c r="E9" s="39"/>
      <c r="F9" s="39"/>
      <c r="G9" s="39"/>
      <c r="H9" s="39"/>
      <c r="J9" s="39"/>
      <c r="K9" s="39"/>
      <c r="L9" s="39"/>
      <c r="M9" s="39"/>
      <c r="N9" s="39"/>
      <c r="O9" s="39"/>
      <c r="P9" s="39"/>
    </row>
    <row r="10" spans="2:17" ht="19.2" customHeight="1" x14ac:dyDescent="0.3">
      <c r="B10" s="38" t="s">
        <v>57</v>
      </c>
      <c r="C10" s="38"/>
      <c r="D10" s="38"/>
      <c r="E10" s="38"/>
      <c r="F10" s="38"/>
      <c r="G10" s="38"/>
      <c r="H10" s="38"/>
      <c r="J10" s="39"/>
      <c r="K10" s="47" t="s">
        <v>57</v>
      </c>
      <c r="L10" s="47"/>
      <c r="M10" s="47"/>
      <c r="N10" s="47"/>
      <c r="O10" s="39"/>
      <c r="P10" s="39"/>
    </row>
    <row r="11" spans="2:17" ht="4.2" customHeight="1" x14ac:dyDescent="0.3">
      <c r="B11" s="39"/>
      <c r="C11" s="39"/>
      <c r="D11" s="39"/>
      <c r="E11" s="39"/>
      <c r="F11" s="39"/>
      <c r="G11" s="39"/>
      <c r="H11" s="39"/>
      <c r="J11" s="39"/>
      <c r="K11" s="39"/>
      <c r="L11" s="39"/>
      <c r="M11" s="39"/>
      <c r="N11" s="39"/>
      <c r="O11" s="39"/>
      <c r="P11" s="39"/>
    </row>
    <row r="12" spans="2:17" s="14" customFormat="1" ht="28.8" customHeight="1" x14ac:dyDescent="0.3">
      <c r="B12" s="40" t="s">
        <v>55</v>
      </c>
      <c r="C12" s="40" t="s">
        <v>58</v>
      </c>
      <c r="D12" s="41" t="s">
        <v>50</v>
      </c>
      <c r="E12" s="41" t="s">
        <v>51</v>
      </c>
      <c r="F12" s="41" t="s">
        <v>52</v>
      </c>
      <c r="G12" s="41" t="s">
        <v>53</v>
      </c>
      <c r="H12" s="41" t="s">
        <v>54</v>
      </c>
      <c r="J12" s="41"/>
      <c r="K12" s="40"/>
      <c r="L12" s="53" t="s">
        <v>55</v>
      </c>
      <c r="M12" s="54" t="s">
        <v>86</v>
      </c>
      <c r="N12" s="40"/>
      <c r="O12" s="40"/>
      <c r="P12" s="40"/>
    </row>
    <row r="13" spans="2:17" x14ac:dyDescent="0.3">
      <c r="B13" s="42">
        <v>2015</v>
      </c>
      <c r="C13" s="43">
        <f>'2015'!C41+'2015'!D41+'2015'!E41+'2015'!F41+'2015'!G41</f>
        <v>253</v>
      </c>
      <c r="D13" s="43">
        <f>'2015'!I41</f>
        <v>4597.5</v>
      </c>
      <c r="E13" s="43">
        <f>'2015'!J41</f>
        <v>5177.57</v>
      </c>
      <c r="F13" s="43">
        <f>'2015'!E41</f>
        <v>101</v>
      </c>
      <c r="G13" s="43">
        <f>'2015'!K41</f>
        <v>458.54</v>
      </c>
      <c r="H13" s="43">
        <f>'2015'!B41</f>
        <v>353</v>
      </c>
      <c r="J13" s="39"/>
      <c r="K13" s="39"/>
      <c r="L13" s="51">
        <v>2015</v>
      </c>
      <c r="M13" s="52">
        <f>+(Tabella911[[#This Row],[Ore di assenza]]+Tabella911[[#This Row],[Ore di assenza per malattia]]+Tabella911[[#This Row],[Ore di ferie usufruite]])/Tabella911[[#This Row],[Ore effettive lavorate]]</f>
        <v>0.15377922784121806</v>
      </c>
      <c r="N13" s="39"/>
      <c r="O13" s="39"/>
      <c r="P13" s="39"/>
    </row>
    <row r="14" spans="2:17" x14ac:dyDescent="0.3">
      <c r="B14" s="42">
        <v>2016</v>
      </c>
      <c r="C14" s="43">
        <f>'2016'!C37+'2016'!D37+'2016'!E37+'2016'!F37+'2016'!G37</f>
        <v>42.5</v>
      </c>
      <c r="D14" s="43">
        <f>'2016'!I37</f>
        <v>2738</v>
      </c>
      <c r="E14" s="43">
        <f>'2016'!J37</f>
        <v>2860</v>
      </c>
      <c r="F14" s="43">
        <f>'2016'!E37</f>
        <v>0</v>
      </c>
      <c r="G14" s="43">
        <f>'2016'!K37</f>
        <v>231.24</v>
      </c>
      <c r="H14" s="43">
        <f>'2016'!B37</f>
        <v>178</v>
      </c>
      <c r="J14" s="39"/>
      <c r="K14" s="39"/>
      <c r="L14" s="51">
        <v>2016</v>
      </c>
      <c r="M14" s="52">
        <f>+(Tabella911[[#This Row],[Ore di assenza]]+Tabella911[[#This Row],[Ore di assenza per malattia]]+Tabella911[[#This Row],[Ore di ferie usufruite]])/Tabella911[[#This Row],[Ore effettive lavorate]]</f>
        <v>8.053323593864134E-2</v>
      </c>
      <c r="N14" s="39"/>
      <c r="O14" s="39"/>
      <c r="P14" s="39"/>
    </row>
    <row r="15" spans="2:17" x14ac:dyDescent="0.3">
      <c r="B15" s="42">
        <v>2017</v>
      </c>
      <c r="C15" s="43">
        <f>'2017'!C41+'2017'!D41+'2017'!E41+'2017'!F41+'2017'!G41</f>
        <v>166</v>
      </c>
      <c r="D15" s="43">
        <f>'2017'!I41</f>
        <v>4668</v>
      </c>
      <c r="E15" s="43">
        <f>'2017'!J41</f>
        <v>4912.5</v>
      </c>
      <c r="F15" s="43">
        <f>'2017'!E41</f>
        <v>31</v>
      </c>
      <c r="G15" s="43">
        <f>'2017'!K41</f>
        <v>355.15</v>
      </c>
      <c r="H15" s="43">
        <f>'2017'!B41</f>
        <v>108</v>
      </c>
      <c r="J15" s="39"/>
      <c r="K15" s="39"/>
      <c r="L15" s="51">
        <v>2015</v>
      </c>
      <c r="M15" s="52">
        <f>+(Tabella911[[#This Row],[Ore di assenza]]+Tabella911[[#This Row],[Ore di assenza per malattia]]+Tabella911[[#This Row],[Ore di ferie usufruite]])/Tabella911[[#This Row],[Ore effettive lavorate]]</f>
        <v>6.5338474721508139E-2</v>
      </c>
      <c r="N15" s="39"/>
      <c r="O15" s="39"/>
      <c r="P15" s="39"/>
    </row>
    <row r="16" spans="2:17" x14ac:dyDescent="0.3">
      <c r="B16" s="39"/>
      <c r="C16" s="39"/>
      <c r="D16" s="39"/>
      <c r="E16" s="39"/>
      <c r="F16" s="39"/>
      <c r="G16" s="39"/>
      <c r="H16" s="39"/>
      <c r="J16" s="39"/>
      <c r="K16" s="39"/>
      <c r="L16" s="39"/>
      <c r="M16" s="39"/>
      <c r="N16" s="39"/>
      <c r="O16" s="39"/>
      <c r="P16" s="39"/>
    </row>
    <row r="17" spans="2:15" x14ac:dyDescent="0.3">
      <c r="B17" s="39"/>
      <c r="C17" s="39"/>
      <c r="D17" s="39"/>
      <c r="E17" s="39"/>
      <c r="F17" s="39"/>
      <c r="G17" s="39"/>
      <c r="H17" s="39"/>
    </row>
    <row r="18" spans="2:15" x14ac:dyDescent="0.3">
      <c r="B18" s="39"/>
      <c r="C18" s="39"/>
      <c r="D18" s="39"/>
      <c r="E18" s="39"/>
      <c r="F18" s="39"/>
      <c r="G18" s="39"/>
      <c r="H18" s="39"/>
    </row>
    <row r="19" spans="2:15" ht="28.8" customHeight="1" x14ac:dyDescent="0.3">
      <c r="B19" s="44" t="s">
        <v>76</v>
      </c>
      <c r="C19" s="44"/>
      <c r="D19" s="44"/>
      <c r="E19" s="44"/>
      <c r="F19" s="44"/>
      <c r="G19" s="44"/>
      <c r="H19" s="44"/>
      <c r="I19" s="44" t="s">
        <v>87</v>
      </c>
      <c r="J19" s="44"/>
      <c r="K19" s="44"/>
      <c r="L19" s="44"/>
      <c r="M19" s="44"/>
      <c r="N19" s="44"/>
      <c r="O19" s="44"/>
    </row>
    <row r="20" spans="2:15" x14ac:dyDescent="0.3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</row>
    <row r="21" spans="2:15" x14ac:dyDescent="0.3">
      <c r="B21" s="39" t="s">
        <v>77</v>
      </c>
      <c r="C21" s="45"/>
      <c r="D21" s="45"/>
      <c r="E21" s="39"/>
      <c r="F21" s="39"/>
      <c r="G21" s="39"/>
      <c r="H21" s="39"/>
      <c r="I21" s="44" t="s">
        <v>88</v>
      </c>
      <c r="J21" s="44"/>
      <c r="K21" s="44"/>
      <c r="L21" s="44"/>
      <c r="M21" s="44"/>
      <c r="N21" s="44"/>
      <c r="O21" s="44"/>
    </row>
    <row r="22" spans="2:15" x14ac:dyDescent="0.3">
      <c r="B22" s="45"/>
      <c r="C22" s="39"/>
      <c r="D22" s="39"/>
      <c r="E22" s="39"/>
      <c r="F22" s="39"/>
      <c r="G22" s="39"/>
      <c r="H22" s="39"/>
    </row>
  </sheetData>
  <mergeCells count="9">
    <mergeCell ref="I19:O19"/>
    <mergeCell ref="I1:P2"/>
    <mergeCell ref="B1:H2"/>
    <mergeCell ref="B3:H3"/>
    <mergeCell ref="B10:H10"/>
    <mergeCell ref="B19:H19"/>
    <mergeCell ref="K3:N3"/>
    <mergeCell ref="K10:N10"/>
    <mergeCell ref="I21:O21"/>
  </mergeCells>
  <pageMargins left="1" right="1" top="1" bottom="1" header="0.5" footer="0.5"/>
  <pageSetup paperSize="9" orientation="landscape" r:id="rId1"/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6BD91-0E18-49FB-AB1A-2F2151F40476}">
  <dimension ref="B2:H19"/>
  <sheetViews>
    <sheetView topLeftCell="A7" workbookViewId="0">
      <selection activeCell="I3" sqref="I3"/>
    </sheetView>
  </sheetViews>
  <sheetFormatPr defaultRowHeight="15.6" x14ac:dyDescent="0.3"/>
  <cols>
    <col min="1" max="1" width="13.77734375" style="17" customWidth="1"/>
    <col min="2" max="9" width="12.77734375" style="17" customWidth="1"/>
    <col min="10" max="16384" width="8.88671875" style="17"/>
  </cols>
  <sheetData>
    <row r="2" spans="2:8" x14ac:dyDescent="0.3">
      <c r="B2" s="32" t="s">
        <v>79</v>
      </c>
      <c r="C2" s="32"/>
      <c r="D2" s="32"/>
      <c r="E2" s="32"/>
      <c r="F2" s="32"/>
      <c r="G2" s="32"/>
      <c r="H2" s="32"/>
    </row>
    <row r="3" spans="2:8" x14ac:dyDescent="0.3">
      <c r="B3" s="32"/>
      <c r="C3" s="32"/>
      <c r="D3" s="32"/>
      <c r="E3" s="32"/>
      <c r="F3" s="32"/>
      <c r="G3" s="32"/>
      <c r="H3" s="32"/>
    </row>
    <row r="4" spans="2:8" ht="28.2" customHeight="1" thickBot="1" x14ac:dyDescent="0.35"/>
    <row r="5" spans="2:8" ht="21" customHeight="1" thickTop="1" x14ac:dyDescent="0.3">
      <c r="B5" s="35"/>
      <c r="C5" s="33">
        <v>2015</v>
      </c>
      <c r="D5" s="34"/>
      <c r="E5" s="33">
        <v>2016</v>
      </c>
      <c r="F5" s="34"/>
      <c r="G5" s="33">
        <v>2017</v>
      </c>
      <c r="H5" s="34"/>
    </row>
    <row r="6" spans="2:8" ht="21" customHeight="1" x14ac:dyDescent="0.3">
      <c r="B6" s="36"/>
      <c r="C6" s="18" t="s">
        <v>75</v>
      </c>
      <c r="D6" s="19" t="s">
        <v>74</v>
      </c>
      <c r="E6" s="18" t="s">
        <v>75</v>
      </c>
      <c r="F6" s="19" t="s">
        <v>74</v>
      </c>
      <c r="G6" s="18" t="s">
        <v>75</v>
      </c>
      <c r="H6" s="19" t="s">
        <v>74</v>
      </c>
    </row>
    <row r="7" spans="2:8" ht="21" customHeight="1" x14ac:dyDescent="0.3">
      <c r="B7" s="20" t="s">
        <v>73</v>
      </c>
      <c r="C7" s="18"/>
      <c r="D7" s="19">
        <v>1</v>
      </c>
      <c r="E7" s="18">
        <v>1</v>
      </c>
      <c r="F7" s="19"/>
      <c r="G7" s="18"/>
      <c r="H7" s="19"/>
    </row>
    <row r="8" spans="2:8" ht="21" customHeight="1" x14ac:dyDescent="0.3">
      <c r="B8" s="20" t="s">
        <v>72</v>
      </c>
      <c r="C8" s="18"/>
      <c r="D8" s="19"/>
      <c r="E8" s="18"/>
      <c r="F8" s="19"/>
      <c r="G8" s="18"/>
      <c r="H8" s="19">
        <v>1</v>
      </c>
    </row>
    <row r="9" spans="2:8" ht="21" customHeight="1" x14ac:dyDescent="0.3">
      <c r="B9" s="20" t="s">
        <v>71</v>
      </c>
      <c r="C9" s="18"/>
      <c r="D9" s="19"/>
      <c r="E9" s="18"/>
      <c r="F9" s="19"/>
      <c r="G9" s="18"/>
      <c r="H9" s="19"/>
    </row>
    <row r="10" spans="2:8" ht="21" customHeight="1" x14ac:dyDescent="0.3">
      <c r="B10" s="20" t="s">
        <v>70</v>
      </c>
      <c r="C10" s="18"/>
      <c r="D10" s="19"/>
      <c r="E10" s="18"/>
      <c r="F10" s="19"/>
      <c r="G10" s="18"/>
      <c r="H10" s="19"/>
    </row>
    <row r="11" spans="2:8" ht="21" customHeight="1" x14ac:dyDescent="0.3">
      <c r="B11" s="20" t="s">
        <v>69</v>
      </c>
      <c r="C11" s="18">
        <v>1</v>
      </c>
      <c r="D11" s="19"/>
      <c r="E11" s="18">
        <v>2</v>
      </c>
      <c r="F11" s="19"/>
      <c r="G11" s="18">
        <v>5</v>
      </c>
      <c r="H11" s="19"/>
    </row>
    <row r="12" spans="2:8" ht="21" customHeight="1" x14ac:dyDescent="0.3">
      <c r="B12" s="20" t="s">
        <v>68</v>
      </c>
      <c r="C12" s="18">
        <v>1</v>
      </c>
      <c r="D12" s="19">
        <v>1</v>
      </c>
      <c r="E12" s="18"/>
      <c r="F12" s="19"/>
      <c r="G12" s="18">
        <v>1</v>
      </c>
      <c r="H12" s="19"/>
    </row>
    <row r="13" spans="2:8" ht="21" customHeight="1" x14ac:dyDescent="0.3">
      <c r="B13" s="20" t="s">
        <v>67</v>
      </c>
      <c r="C13" s="18">
        <v>1</v>
      </c>
      <c r="D13" s="19"/>
      <c r="E13" s="18"/>
      <c r="F13" s="19"/>
      <c r="G13" s="18"/>
      <c r="H13" s="19">
        <v>1</v>
      </c>
    </row>
    <row r="14" spans="2:8" ht="21" customHeight="1" x14ac:dyDescent="0.3">
      <c r="B14" s="20" t="s">
        <v>66</v>
      </c>
      <c r="C14" s="18"/>
      <c r="D14" s="19">
        <v>3</v>
      </c>
      <c r="E14" s="18"/>
      <c r="F14" s="19"/>
      <c r="G14" s="18"/>
      <c r="H14" s="19"/>
    </row>
    <row r="15" spans="2:8" ht="21" customHeight="1" x14ac:dyDescent="0.3">
      <c r="B15" s="20" t="s">
        <v>65</v>
      </c>
      <c r="C15" s="18"/>
      <c r="D15" s="19"/>
      <c r="E15" s="18"/>
      <c r="F15" s="19">
        <v>1</v>
      </c>
      <c r="G15" s="18"/>
      <c r="H15" s="19">
        <v>4</v>
      </c>
    </row>
    <row r="16" spans="2:8" ht="21" customHeight="1" x14ac:dyDescent="0.3">
      <c r="B16" s="20" t="s">
        <v>64</v>
      </c>
      <c r="C16" s="18">
        <v>1</v>
      </c>
      <c r="D16" s="19">
        <v>1</v>
      </c>
      <c r="E16" s="18"/>
      <c r="F16" s="19"/>
      <c r="G16" s="18"/>
      <c r="H16" s="19">
        <v>1</v>
      </c>
    </row>
    <row r="17" spans="2:8" ht="21" customHeight="1" x14ac:dyDescent="0.3">
      <c r="B17" s="20" t="s">
        <v>63</v>
      </c>
      <c r="C17" s="18"/>
      <c r="D17" s="19">
        <v>2</v>
      </c>
      <c r="E17" s="18"/>
      <c r="F17" s="19"/>
      <c r="G17" s="18"/>
      <c r="H17" s="19"/>
    </row>
    <row r="18" spans="2:8" ht="21" customHeight="1" thickBot="1" x14ac:dyDescent="0.35">
      <c r="B18" s="21" t="s">
        <v>62</v>
      </c>
      <c r="C18" s="22">
        <v>1</v>
      </c>
      <c r="D18" s="23"/>
      <c r="E18" s="22"/>
      <c r="F18" s="23">
        <v>1</v>
      </c>
      <c r="G18" s="22"/>
      <c r="H18" s="23"/>
    </row>
    <row r="19" spans="2:8" ht="16.2" thickTop="1" x14ac:dyDescent="0.3"/>
  </sheetData>
  <mergeCells count="5">
    <mergeCell ref="E5:F5"/>
    <mergeCell ref="G5:H5"/>
    <mergeCell ref="B5:B6"/>
    <mergeCell ref="B2:H3"/>
    <mergeCell ref="C5:D5"/>
  </mergeCells>
  <pageMargins left="1" right="1" top="1" bottom="1" header="0.5" footer="0.5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38F61-DF59-4675-9A95-159DF149E1DF}">
  <dimension ref="C6:F12"/>
  <sheetViews>
    <sheetView workbookViewId="0">
      <selection activeCell="J20" sqref="J20"/>
    </sheetView>
  </sheetViews>
  <sheetFormatPr defaultRowHeight="14.4" x14ac:dyDescent="0.3"/>
  <cols>
    <col min="1" max="1" width="8.88671875" style="10"/>
    <col min="2" max="2" width="8.88671875" style="10" customWidth="1"/>
    <col min="3" max="3" width="10" style="10" customWidth="1"/>
    <col min="4" max="16384" width="8.88671875" style="10"/>
  </cols>
  <sheetData>
    <row r="6" spans="3:6" ht="15" thickBot="1" x14ac:dyDescent="0.35"/>
    <row r="7" spans="3:6" ht="15.6" thickTop="1" thickBot="1" x14ac:dyDescent="0.35">
      <c r="C7" s="24"/>
      <c r="D7" s="25" t="s">
        <v>80</v>
      </c>
      <c r="E7" s="26" t="s">
        <v>81</v>
      </c>
      <c r="F7" s="27" t="s">
        <v>82</v>
      </c>
    </row>
    <row r="8" spans="3:6" ht="15.6" thickTop="1" thickBot="1" x14ac:dyDescent="0.35">
      <c r="C8" s="28">
        <v>2015</v>
      </c>
      <c r="D8" s="29">
        <v>30</v>
      </c>
      <c r="E8" s="30">
        <v>27</v>
      </c>
      <c r="F8" s="31">
        <f>(D8+E8)/2</f>
        <v>28.5</v>
      </c>
    </row>
    <row r="9" spans="3:6" ht="15.6" thickTop="1" thickBot="1" x14ac:dyDescent="0.35">
      <c r="C9" s="28">
        <v>2016</v>
      </c>
      <c r="D9" s="29">
        <v>27</v>
      </c>
      <c r="E9" s="30" t="s">
        <v>83</v>
      </c>
      <c r="F9" s="31">
        <f>(D9+29)/2</f>
        <v>28</v>
      </c>
    </row>
    <row r="10" spans="3:6" ht="15.6" thickTop="1" thickBot="1" x14ac:dyDescent="0.35">
      <c r="C10" s="28">
        <v>2017</v>
      </c>
      <c r="D10" s="29">
        <v>28</v>
      </c>
      <c r="E10" s="30">
        <v>27</v>
      </c>
      <c r="F10" s="31">
        <f>(D10+E10)/2</f>
        <v>27.5</v>
      </c>
    </row>
    <row r="11" spans="3:6" ht="15" thickTop="1" x14ac:dyDescent="0.3"/>
    <row r="12" spans="3:6" x14ac:dyDescent="0.3">
      <c r="C12" s="10" t="s">
        <v>84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2017</vt:lpstr>
      <vt:lpstr>2016</vt:lpstr>
      <vt:lpstr>2015</vt:lpstr>
      <vt:lpstr>Riepilogo</vt:lpstr>
      <vt:lpstr>Assenze sito</vt:lpstr>
      <vt:lpstr>Andamento organico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g.guerinirocco</dc:creator>
  <cp:lastModifiedBy>PresidenteAPES</cp:lastModifiedBy>
  <cp:lastPrinted>2020-06-24T07:00:29Z</cp:lastPrinted>
  <dcterms:created xsi:type="dcterms:W3CDTF">2018-09-18T12:39:53Z</dcterms:created>
  <dcterms:modified xsi:type="dcterms:W3CDTF">2020-06-24T07:00:34Z</dcterms:modified>
</cp:coreProperties>
</file>